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8" windowWidth="14808" windowHeight="8016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R23" i="1"/>
  <c r="E23"/>
  <c r="R21"/>
  <c r="E21"/>
  <c r="F21" s="1"/>
  <c r="R19"/>
  <c r="N19"/>
  <c r="J19"/>
  <c r="F19"/>
  <c r="E19"/>
  <c r="O19" s="1"/>
  <c r="R17"/>
  <c r="O17"/>
  <c r="N17"/>
  <c r="K17"/>
  <c r="J17"/>
  <c r="G17"/>
  <c r="F17"/>
  <c r="E17"/>
  <c r="P17" s="1"/>
  <c r="R15"/>
  <c r="P15"/>
  <c r="O15"/>
  <c r="N15"/>
  <c r="M15"/>
  <c r="J15"/>
  <c r="I15"/>
  <c r="H15"/>
  <c r="G15"/>
  <c r="F15"/>
  <c r="O13"/>
  <c r="N13"/>
  <c r="L13"/>
  <c r="K13"/>
  <c r="J13"/>
  <c r="I13"/>
  <c r="G13"/>
  <c r="F13"/>
  <c r="D13"/>
  <c r="C13"/>
  <c r="R12"/>
  <c r="P12"/>
  <c r="P13" s="1"/>
  <c r="M12"/>
  <c r="M13" s="1"/>
  <c r="I12"/>
  <c r="H12"/>
  <c r="H13" s="1"/>
  <c r="R11"/>
  <c r="R13" s="1"/>
  <c r="R24" s="1"/>
  <c r="E11"/>
  <c r="N11" s="1"/>
  <c r="K9"/>
  <c r="J9"/>
  <c r="R8"/>
  <c r="N8"/>
  <c r="M8"/>
  <c r="H8"/>
  <c r="G8"/>
  <c r="E8"/>
  <c r="O8" s="1"/>
  <c r="R7"/>
  <c r="R9" s="1"/>
  <c r="P7"/>
  <c r="M7"/>
  <c r="M9" s="1"/>
  <c r="J7"/>
  <c r="G7"/>
  <c r="G9" s="1"/>
  <c r="F7"/>
  <c r="E7"/>
  <c r="N7" s="1"/>
  <c r="N9" s="1"/>
  <c r="R6"/>
  <c r="P6"/>
  <c r="O6"/>
  <c r="L6"/>
  <c r="K6"/>
  <c r="H6"/>
  <c r="G6"/>
  <c r="E6"/>
  <c r="M6" s="1"/>
  <c r="P9" l="1"/>
  <c r="I11"/>
  <c r="M11"/>
  <c r="H11"/>
  <c r="P11"/>
  <c r="M19"/>
  <c r="F6"/>
  <c r="J6"/>
  <c r="N6"/>
  <c r="I7"/>
  <c r="O7"/>
  <c r="O9" s="1"/>
  <c r="F8"/>
  <c r="F9" s="1"/>
  <c r="L8"/>
  <c r="L9" s="1"/>
  <c r="P8"/>
  <c r="G11"/>
  <c r="K11"/>
  <c r="O11"/>
  <c r="I17"/>
  <c r="M17"/>
  <c r="H19"/>
  <c r="L19"/>
  <c r="P19"/>
  <c r="G21"/>
  <c r="I21"/>
  <c r="L11"/>
  <c r="I19"/>
  <c r="H21"/>
  <c r="I6"/>
  <c r="H7"/>
  <c r="H9" s="1"/>
  <c r="I8"/>
  <c r="F11"/>
  <c r="J11"/>
  <c r="H17"/>
  <c r="L17"/>
  <c r="G19"/>
  <c r="K19"/>
  <c r="I9" l="1"/>
</calcChain>
</file>

<file path=xl/sharedStrings.xml><?xml version="1.0" encoding="utf-8"?>
<sst xmlns="http://schemas.openxmlformats.org/spreadsheetml/2006/main" count="43" uniqueCount="37">
  <si>
    <t>Школа</t>
  </si>
  <si>
    <t>День</t>
  </si>
  <si>
    <t>Белки</t>
  </si>
  <si>
    <t>Жиры</t>
  </si>
  <si>
    <t>Углеводы</t>
  </si>
  <si>
    <t>Наименование блюда</t>
  </si>
  <si>
    <t>отх</t>
  </si>
  <si>
    <t>нетто</t>
  </si>
  <si>
    <t>э/ц ккл</t>
  </si>
  <si>
    <t>Витамины, мг на 100 г</t>
  </si>
  <si>
    <t>Минеральные в-ва</t>
  </si>
  <si>
    <t>цена</t>
  </si>
  <si>
    <t>В1</t>
  </si>
  <si>
    <t>С</t>
  </si>
  <si>
    <t>А</t>
  </si>
  <si>
    <t>Са</t>
  </si>
  <si>
    <t>Р</t>
  </si>
  <si>
    <t>Mg</t>
  </si>
  <si>
    <t>Fe</t>
  </si>
  <si>
    <t>итого</t>
  </si>
  <si>
    <t>МБОУ "Урагинская СОШ"</t>
  </si>
  <si>
    <t>сахар</t>
  </si>
  <si>
    <t>масло сливочное</t>
  </si>
  <si>
    <t>сумма</t>
  </si>
  <si>
    <t>3.хлеб</t>
  </si>
  <si>
    <t>всего грамм</t>
  </si>
  <si>
    <t xml:space="preserve">1.каша рисовая молочная </t>
  </si>
  <si>
    <t>молоко</t>
  </si>
  <si>
    <t>рис</t>
  </si>
  <si>
    <t>4.чай</t>
  </si>
  <si>
    <t>чай</t>
  </si>
  <si>
    <t>4.яйцо</t>
  </si>
  <si>
    <t>5.печенье</t>
  </si>
  <si>
    <t>6.бананы</t>
  </si>
  <si>
    <t>7.соль</t>
  </si>
  <si>
    <t>соль</t>
  </si>
  <si>
    <t>12.03.2022 г</t>
  </si>
</sst>
</file>

<file path=xl/styles.xml><?xml version="1.0" encoding="utf-8"?>
<styleSheet xmlns="http://schemas.openxmlformats.org/spreadsheetml/2006/main">
  <numFmts count="1">
    <numFmt numFmtId="164" formatCode="0.000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8"/>
      <name val="Arial"/>
      <family val="2"/>
    </font>
    <font>
      <b/>
      <sz val="14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4"/>
      <color indexed="8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b/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b/>
      <sz val="12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8"/>
      <color indexed="8"/>
      <name val="Calibri"/>
      <family val="2"/>
      <charset val="204"/>
    </font>
    <font>
      <b/>
      <sz val="14"/>
      <color indexed="8"/>
      <name val="Calibri"/>
      <family val="2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b/>
      <sz val="16"/>
      <color indexed="8"/>
      <name val="Calibri"/>
      <family val="2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63">
    <xf numFmtId="0" fontId="0" fillId="0" borderId="0" xfId="0"/>
    <xf numFmtId="0" fontId="2" fillId="0" borderId="1" xfId="0" applyFont="1" applyBorder="1"/>
    <xf numFmtId="2" fontId="0" fillId="0" borderId="1" xfId="0" applyNumberFormat="1" applyBorder="1"/>
    <xf numFmtId="2" fontId="6" fillId="0" borderId="1" xfId="0" applyNumberFormat="1" applyFont="1" applyBorder="1"/>
    <xf numFmtId="2" fontId="5" fillId="0" borderId="1" xfId="0" applyNumberFormat="1" applyFont="1" applyBorder="1"/>
    <xf numFmtId="1" fontId="5" fillId="0" borderId="1" xfId="0" applyNumberFormat="1" applyFont="1" applyBorder="1"/>
    <xf numFmtId="0" fontId="1" fillId="0" borderId="0" xfId="0" applyFont="1"/>
    <xf numFmtId="2" fontId="8" fillId="0" borderId="0" xfId="0" applyNumberFormat="1" applyFont="1" applyAlignment="1">
      <alignment vertical="center"/>
    </xf>
    <xf numFmtId="2" fontId="0" fillId="0" borderId="0" xfId="0" applyNumberFormat="1" applyFont="1" applyAlignment="1">
      <alignment vertical="center"/>
    </xf>
    <xf numFmtId="2" fontId="9" fillId="0" borderId="0" xfId="0" applyNumberFormat="1" applyFont="1" applyAlignment="1">
      <alignment horizontal="left"/>
    </xf>
    <xf numFmtId="0" fontId="0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8" fillId="0" borderId="0" xfId="0" applyFont="1"/>
    <xf numFmtId="0" fontId="10" fillId="0" borderId="1" xfId="0" applyFont="1" applyBorder="1"/>
    <xf numFmtId="0" fontId="11" fillId="0" borderId="0" xfId="0" applyFont="1"/>
    <xf numFmtId="14" fontId="2" fillId="0" borderId="1" xfId="0" applyNumberFormat="1" applyFont="1" applyBorder="1"/>
    <xf numFmtId="0" fontId="0" fillId="0" borderId="1" xfId="0" applyBorder="1"/>
    <xf numFmtId="2" fontId="14" fillId="0" borderId="1" xfId="0" applyNumberFormat="1" applyFont="1" applyBorder="1"/>
    <xf numFmtId="164" fontId="6" fillId="0" borderId="1" xfId="0" applyNumberFormat="1" applyFont="1" applyBorder="1"/>
    <xf numFmtId="2" fontId="15" fillId="0" borderId="1" xfId="0" applyNumberFormat="1" applyFont="1" applyBorder="1"/>
    <xf numFmtId="1" fontId="16" fillId="0" borderId="1" xfId="0" applyNumberFormat="1" applyFont="1" applyBorder="1"/>
    <xf numFmtId="2" fontId="6" fillId="0" borderId="4" xfId="0" applyNumberFormat="1" applyFont="1" applyBorder="1" applyAlignment="1">
      <alignment horizontal="center"/>
    </xf>
    <xf numFmtId="2" fontId="6" fillId="0" borderId="5" xfId="0" applyNumberFormat="1" applyFont="1" applyBorder="1" applyAlignment="1">
      <alignment horizontal="center"/>
    </xf>
    <xf numFmtId="0" fontId="3" fillId="0" borderId="2" xfId="1" applyNumberFormat="1" applyFont="1" applyFill="1" applyBorder="1" applyAlignment="1" applyProtection="1">
      <alignment horizontal="center" vertical="center"/>
    </xf>
    <xf numFmtId="0" fontId="3" fillId="0" borderId="6" xfId="1" applyNumberFormat="1" applyFont="1" applyFill="1" applyBorder="1" applyAlignment="1" applyProtection="1">
      <alignment horizontal="center" vertical="center"/>
    </xf>
    <xf numFmtId="2" fontId="0" fillId="0" borderId="4" xfId="0" applyNumberFormat="1" applyBorder="1" applyAlignment="1">
      <alignment horizontal="center"/>
    </xf>
    <xf numFmtId="2" fontId="0" fillId="0" borderId="5" xfId="0" applyNumberFormat="1" applyBorder="1" applyAlignment="1">
      <alignment horizontal="center"/>
    </xf>
    <xf numFmtId="0" fontId="12" fillId="0" borderId="1" xfId="1" applyNumberFormat="1" applyFont="1" applyFill="1" applyBorder="1" applyAlignment="1" applyProtection="1">
      <alignment horizontal="center" vertical="center"/>
    </xf>
    <xf numFmtId="0" fontId="3" fillId="2" borderId="2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0" borderId="7" xfId="1" applyNumberFormat="1" applyFont="1" applyFill="1" applyBorder="1" applyAlignment="1" applyProtection="1">
      <alignment horizontal="center" vertical="center"/>
    </xf>
    <xf numFmtId="0" fontId="13" fillId="0" borderId="2" xfId="1" applyNumberFormat="1" applyFont="1" applyFill="1" applyBorder="1" applyAlignment="1" applyProtection="1">
      <alignment horizontal="center" vertical="center"/>
    </xf>
    <xf numFmtId="0" fontId="13" fillId="0" borderId="7" xfId="1" applyNumberFormat="1" applyFont="1" applyFill="1" applyBorder="1" applyAlignment="1" applyProtection="1">
      <alignment horizontal="center" vertical="center"/>
    </xf>
    <xf numFmtId="0" fontId="13" fillId="0" borderId="6" xfId="1" applyNumberFormat="1" applyFont="1" applyFill="1" applyBorder="1" applyAlignment="1" applyProtection="1">
      <alignment horizontal="center" vertical="center"/>
    </xf>
    <xf numFmtId="0" fontId="17" fillId="2" borderId="2" xfId="1" applyNumberFormat="1" applyFont="1" applyFill="1" applyBorder="1" applyAlignment="1" applyProtection="1">
      <alignment horizontal="center" vertical="top" wrapText="1"/>
    </xf>
    <xf numFmtId="0" fontId="18" fillId="2" borderId="2" xfId="1" applyNumberFormat="1" applyFont="1" applyFill="1" applyBorder="1" applyAlignment="1" applyProtection="1">
      <alignment horizontal="center" vertical="top"/>
    </xf>
    <xf numFmtId="0" fontId="13" fillId="0" borderId="1" xfId="1" applyNumberFormat="1" applyFont="1" applyFill="1" applyBorder="1" applyAlignment="1" applyProtection="1">
      <alignment horizontal="center" vertical="center"/>
    </xf>
    <xf numFmtId="0" fontId="5" fillId="0" borderId="2" xfId="0" applyFont="1" applyBorder="1" applyAlignment="1">
      <alignment horizontal="center"/>
    </xf>
    <xf numFmtId="0" fontId="17" fillId="2" borderId="7" xfId="1" applyNumberFormat="1" applyFont="1" applyFill="1" applyBorder="1" applyAlignment="1" applyProtection="1">
      <alignment horizontal="center" vertical="top" wrapText="1"/>
    </xf>
    <xf numFmtId="0" fontId="18" fillId="2" borderId="7" xfId="1" applyNumberFormat="1" applyFont="1" applyFill="1" applyBorder="1" applyAlignment="1" applyProtection="1">
      <alignment horizontal="center" vertical="top"/>
    </xf>
    <xf numFmtId="0" fontId="13" fillId="2" borderId="2" xfId="1" applyNumberFormat="1" applyFont="1" applyFill="1" applyBorder="1" applyAlignment="1" applyProtection="1">
      <alignment horizontal="center" vertical="center"/>
    </xf>
    <xf numFmtId="0" fontId="5" fillId="0" borderId="7" xfId="0" applyFont="1" applyBorder="1" applyAlignment="1">
      <alignment horizontal="center"/>
    </xf>
    <xf numFmtId="0" fontId="3" fillId="2" borderId="2" xfId="0" applyFont="1" applyFill="1" applyBorder="1" applyAlignment="1"/>
    <xf numFmtId="0" fontId="19" fillId="0" borderId="2" xfId="1" applyNumberFormat="1" applyFont="1" applyFill="1" applyBorder="1" applyAlignment="1" applyProtection="1">
      <alignment horizontal="left" vertical="top" wrapText="1"/>
    </xf>
    <xf numFmtId="0" fontId="17" fillId="2" borderId="6" xfId="1" applyNumberFormat="1" applyFont="1" applyFill="1" applyBorder="1" applyAlignment="1" applyProtection="1">
      <alignment horizontal="center" vertical="top" wrapText="1"/>
    </xf>
    <xf numFmtId="0" fontId="18" fillId="2" borderId="6" xfId="1" applyNumberFormat="1" applyFont="1" applyFill="1" applyBorder="1" applyAlignment="1" applyProtection="1">
      <alignment horizontal="center" vertical="top"/>
    </xf>
    <xf numFmtId="0" fontId="13" fillId="2" borderId="6" xfId="1" applyNumberFormat="1" applyFont="1" applyFill="1" applyBorder="1" applyAlignment="1" applyProtection="1">
      <alignment horizontal="center" vertical="center"/>
    </xf>
    <xf numFmtId="0" fontId="5" fillId="0" borderId="6" xfId="0" applyFont="1" applyBorder="1" applyAlignment="1">
      <alignment horizontal="center"/>
    </xf>
    <xf numFmtId="0" fontId="5" fillId="0" borderId="1" xfId="0" applyFont="1" applyBorder="1"/>
    <xf numFmtId="0" fontId="7" fillId="0" borderId="3" xfId="1" applyNumberFormat="1" applyFont="1" applyFill="1" applyBorder="1" applyAlignment="1" applyProtection="1">
      <alignment horizontal="center" vertical="top" wrapText="1"/>
    </xf>
    <xf numFmtId="0" fontId="7" fillId="0" borderId="4" xfId="1" applyNumberFormat="1" applyFont="1" applyFill="1" applyBorder="1" applyAlignment="1" applyProtection="1">
      <alignment horizontal="center" vertical="top" wrapText="1"/>
    </xf>
    <xf numFmtId="0" fontId="7" fillId="0" borderId="5" xfId="1" applyNumberFormat="1" applyFont="1" applyFill="1" applyBorder="1" applyAlignment="1" applyProtection="1">
      <alignment horizontal="center" vertical="top" wrapText="1"/>
    </xf>
    <xf numFmtId="1" fontId="20" fillId="0" borderId="1" xfId="0" applyNumberFormat="1" applyFont="1" applyBorder="1"/>
    <xf numFmtId="2" fontId="21" fillId="0" borderId="3" xfId="0" applyNumberFormat="1" applyFont="1" applyBorder="1" applyAlignment="1">
      <alignment horizontal="center"/>
    </xf>
    <xf numFmtId="2" fontId="22" fillId="0" borderId="4" xfId="0" applyNumberFormat="1" applyFont="1" applyBorder="1" applyAlignment="1">
      <alignment horizontal="center"/>
    </xf>
    <xf numFmtId="2" fontId="22" fillId="0" borderId="5" xfId="0" applyNumberFormat="1" applyFont="1" applyBorder="1" applyAlignment="1">
      <alignment horizontal="center"/>
    </xf>
    <xf numFmtId="2" fontId="23" fillId="0" borderId="3" xfId="0" applyNumberFormat="1" applyFont="1" applyBorder="1" applyAlignment="1">
      <alignment horizontal="center"/>
    </xf>
    <xf numFmtId="2" fontId="24" fillId="0" borderId="4" xfId="0" applyNumberFormat="1" applyFont="1" applyBorder="1" applyAlignment="1">
      <alignment horizontal="center"/>
    </xf>
    <xf numFmtId="2" fontId="24" fillId="0" borderId="5" xfId="0" applyNumberFormat="1" applyFont="1" applyBorder="1" applyAlignment="1">
      <alignment horizontal="center"/>
    </xf>
    <xf numFmtId="1" fontId="5" fillId="0" borderId="0" xfId="0" applyNumberFormat="1" applyFont="1"/>
    <xf numFmtId="2" fontId="5" fillId="0" borderId="3" xfId="0" applyNumberFormat="1" applyFont="1" applyBorder="1" applyAlignment="1">
      <alignment horizontal="center"/>
    </xf>
    <xf numFmtId="2" fontId="16" fillId="0" borderId="1" xfId="0" applyNumberFormat="1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27"/>
  <sheetViews>
    <sheetView tabSelected="1" workbookViewId="0">
      <selection activeCell="T14" sqref="T14"/>
    </sheetView>
  </sheetViews>
  <sheetFormatPr defaultRowHeight="14.4"/>
  <cols>
    <col min="1" max="1" width="6.5546875" customWidth="1"/>
    <col min="2" max="2" width="15.6640625" customWidth="1"/>
    <col min="3" max="3" width="8.109375" customWidth="1"/>
    <col min="4" max="4" width="7.6640625" customWidth="1"/>
    <col min="5" max="5" width="7.5546875" customWidth="1"/>
    <col min="6" max="9" width="8.88671875" customWidth="1"/>
    <col min="10" max="10" width="12" customWidth="1"/>
    <col min="11" max="18" width="8.88671875" customWidth="1"/>
  </cols>
  <sheetData>
    <row r="1" spans="1:18" ht="17.399999999999999" customHeight="1">
      <c r="A1" s="1" t="s">
        <v>0</v>
      </c>
      <c r="B1" s="14" t="s">
        <v>20</v>
      </c>
      <c r="C1" s="14"/>
      <c r="D1" s="14"/>
      <c r="E1" s="14"/>
      <c r="F1" s="14"/>
      <c r="G1" s="14"/>
      <c r="H1" s="14"/>
      <c r="I1" s="14" t="s">
        <v>1</v>
      </c>
      <c r="J1" s="16" t="s">
        <v>36</v>
      </c>
      <c r="K1" s="15"/>
      <c r="L1" s="15"/>
      <c r="M1" s="15"/>
      <c r="N1" s="15"/>
      <c r="O1" s="15"/>
      <c r="P1" s="15"/>
      <c r="Q1" s="15"/>
      <c r="R1" s="15"/>
    </row>
    <row r="2" spans="1:18" ht="33" customHeight="1">
      <c r="A2" s="29"/>
      <c r="B2" s="28" t="s">
        <v>5</v>
      </c>
      <c r="C2" s="35" t="s">
        <v>25</v>
      </c>
      <c r="D2" s="36" t="s">
        <v>6</v>
      </c>
      <c r="E2" s="36" t="s">
        <v>7</v>
      </c>
      <c r="F2" s="32" t="s">
        <v>2</v>
      </c>
      <c r="G2" s="32" t="s">
        <v>3</v>
      </c>
      <c r="H2" s="32" t="s">
        <v>4</v>
      </c>
      <c r="I2" s="32" t="s">
        <v>8</v>
      </c>
      <c r="J2" s="37" t="s">
        <v>9</v>
      </c>
      <c r="K2" s="37"/>
      <c r="L2" s="37"/>
      <c r="M2" s="37" t="s">
        <v>10</v>
      </c>
      <c r="N2" s="37"/>
      <c r="O2" s="37"/>
      <c r="P2" s="37"/>
      <c r="Q2" s="24" t="s">
        <v>11</v>
      </c>
      <c r="R2" s="38" t="s">
        <v>23</v>
      </c>
    </row>
    <row r="3" spans="1:18" ht="24" customHeight="1">
      <c r="A3" s="30"/>
      <c r="B3" s="28"/>
      <c r="C3" s="39"/>
      <c r="D3" s="40"/>
      <c r="E3" s="40"/>
      <c r="F3" s="33"/>
      <c r="G3" s="33"/>
      <c r="H3" s="33"/>
      <c r="I3" s="33"/>
      <c r="J3" s="32" t="s">
        <v>12</v>
      </c>
      <c r="K3" s="41" t="s">
        <v>13</v>
      </c>
      <c r="L3" s="32" t="s">
        <v>14</v>
      </c>
      <c r="M3" s="32" t="s">
        <v>15</v>
      </c>
      <c r="N3" s="32" t="s">
        <v>16</v>
      </c>
      <c r="O3" s="32" t="s">
        <v>17</v>
      </c>
      <c r="P3" s="32" t="s">
        <v>18</v>
      </c>
      <c r="Q3" s="31"/>
      <c r="R3" s="42"/>
    </row>
    <row r="4" spans="1:18" ht="24" customHeight="1">
      <c r="A4" s="43"/>
      <c r="B4" s="44"/>
      <c r="C4" s="45"/>
      <c r="D4" s="46"/>
      <c r="E4" s="46"/>
      <c r="F4" s="34"/>
      <c r="G4" s="34"/>
      <c r="H4" s="34"/>
      <c r="I4" s="34"/>
      <c r="J4" s="34"/>
      <c r="K4" s="47"/>
      <c r="L4" s="34"/>
      <c r="M4" s="34"/>
      <c r="N4" s="34"/>
      <c r="O4" s="34"/>
      <c r="P4" s="34"/>
      <c r="Q4" s="25"/>
      <c r="R4" s="48"/>
    </row>
    <row r="5" spans="1:18" s="6" customFormat="1" ht="19.2" customHeight="1">
      <c r="A5" s="49"/>
      <c r="B5" s="50" t="s">
        <v>26</v>
      </c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2"/>
    </row>
    <row r="6" spans="1:18" s="7" customFormat="1" ht="22.2" customHeight="1">
      <c r="A6" s="49"/>
      <c r="B6" s="17" t="s">
        <v>27</v>
      </c>
      <c r="C6" s="2">
        <v>82</v>
      </c>
      <c r="D6" s="2">
        <v>0</v>
      </c>
      <c r="E6" s="2">
        <f>C6-D6</f>
        <v>82</v>
      </c>
      <c r="F6" s="2">
        <f>E6*2.8%</f>
        <v>2.2959999999999998</v>
      </c>
      <c r="G6" s="2">
        <f>E6*3.2%</f>
        <v>2.6240000000000001</v>
      </c>
      <c r="H6" s="2">
        <f>E6*4.7%</f>
        <v>3.8540000000000001</v>
      </c>
      <c r="I6" s="2">
        <f>E6*58%</f>
        <v>47.559999999999995</v>
      </c>
      <c r="J6" s="2">
        <f>E6*0.04</f>
        <v>3.2800000000000002</v>
      </c>
      <c r="K6" s="2">
        <f>E6*1.3%</f>
        <v>1.0660000000000001</v>
      </c>
      <c r="L6" s="2">
        <f>E6*0.01%</f>
        <v>8.2000000000000007E-3</v>
      </c>
      <c r="M6" s="2">
        <f>E6*120%</f>
        <v>98.399999999999991</v>
      </c>
      <c r="N6" s="2">
        <f>E6*90%</f>
        <v>73.8</v>
      </c>
      <c r="O6" s="2">
        <f>E6*14%</f>
        <v>11.48</v>
      </c>
      <c r="P6" s="2">
        <f>E6*0.06%</f>
        <v>4.9199999999999994E-2</v>
      </c>
      <c r="Q6" s="2">
        <v>70</v>
      </c>
      <c r="R6" s="18">
        <f>C6/1000*Q6</f>
        <v>5.74</v>
      </c>
    </row>
    <row r="7" spans="1:18" s="8" customFormat="1" ht="19.2" customHeight="1">
      <c r="A7" s="49"/>
      <c r="B7" s="17" t="s">
        <v>28</v>
      </c>
      <c r="C7" s="2">
        <v>85</v>
      </c>
      <c r="D7" s="2">
        <v>0</v>
      </c>
      <c r="E7" s="2">
        <f>SUM(C7:D7)</f>
        <v>85</v>
      </c>
      <c r="F7" s="2">
        <f>E7*7%</f>
        <v>5.95</v>
      </c>
      <c r="G7" s="2">
        <f>E7*1%</f>
        <v>0.85</v>
      </c>
      <c r="H7" s="2">
        <f>E7*71.4%</f>
        <v>60.690000000000005</v>
      </c>
      <c r="I7" s="2">
        <f>E7*330%</f>
        <v>280.5</v>
      </c>
      <c r="J7" s="2">
        <f>E7*0.08%</f>
        <v>6.8000000000000005E-2</v>
      </c>
      <c r="K7" s="2">
        <v>0</v>
      </c>
      <c r="L7" s="2">
        <v>0</v>
      </c>
      <c r="M7" s="2">
        <f>E7*8%</f>
        <v>6.8</v>
      </c>
      <c r="N7" s="2">
        <f>E7*150%</f>
        <v>127.5</v>
      </c>
      <c r="O7" s="2">
        <f>E7*50%</f>
        <v>42.5</v>
      </c>
      <c r="P7" s="2">
        <f>E7*1%</f>
        <v>0.85</v>
      </c>
      <c r="Q7" s="2">
        <v>135</v>
      </c>
      <c r="R7" s="2">
        <f>C7/1000*Q7</f>
        <v>11.475000000000001</v>
      </c>
    </row>
    <row r="8" spans="1:18" s="7" customFormat="1" ht="22.2" customHeight="1">
      <c r="A8" s="49"/>
      <c r="B8" s="17" t="s">
        <v>22</v>
      </c>
      <c r="C8" s="2">
        <v>20</v>
      </c>
      <c r="D8" s="2">
        <v>0</v>
      </c>
      <c r="E8" s="2">
        <f>C8-D8</f>
        <v>20</v>
      </c>
      <c r="F8" s="2">
        <f>E8*0.5%</f>
        <v>0.1</v>
      </c>
      <c r="G8" s="2">
        <f>E8*82.5%</f>
        <v>16.5</v>
      </c>
      <c r="H8" s="2">
        <f>E8*0.8%</f>
        <v>0.16</v>
      </c>
      <c r="I8" s="2">
        <f>E8*748%</f>
        <v>149.60000000000002</v>
      </c>
      <c r="J8" s="2">
        <v>0</v>
      </c>
      <c r="K8" s="2">
        <v>0</v>
      </c>
      <c r="L8" s="2">
        <f>E8*0.59%</f>
        <v>0.11799999999999999</v>
      </c>
      <c r="M8" s="2">
        <f>E8*12%</f>
        <v>2.4</v>
      </c>
      <c r="N8" s="2">
        <f>E8*19%</f>
        <v>3.8</v>
      </c>
      <c r="O8" s="2">
        <f>E8*0.4%</f>
        <v>0.08</v>
      </c>
      <c r="P8" s="2">
        <f>E8*0.2%</f>
        <v>0.04</v>
      </c>
      <c r="Q8" s="2">
        <v>635</v>
      </c>
      <c r="R8" s="18">
        <f>C8/1000*Q8</f>
        <v>12.700000000000001</v>
      </c>
    </row>
    <row r="9" spans="1:18" s="7" customFormat="1" ht="22.2" customHeight="1">
      <c r="A9" s="49"/>
      <c r="B9" s="49" t="s">
        <v>19</v>
      </c>
      <c r="C9" s="3">
        <v>110</v>
      </c>
      <c r="D9" s="3">
        <v>0</v>
      </c>
      <c r="E9" s="3">
        <v>200</v>
      </c>
      <c r="F9" s="3">
        <f t="shared" ref="F9:P9" si="0">SUM(F7:F8)</f>
        <v>6.05</v>
      </c>
      <c r="G9" s="3">
        <f t="shared" si="0"/>
        <v>17.350000000000001</v>
      </c>
      <c r="H9" s="3">
        <f t="shared" si="0"/>
        <v>60.85</v>
      </c>
      <c r="I9" s="3">
        <f t="shared" si="0"/>
        <v>430.1</v>
      </c>
      <c r="J9" s="3">
        <f t="shared" si="0"/>
        <v>6.8000000000000005E-2</v>
      </c>
      <c r="K9" s="3">
        <f t="shared" si="0"/>
        <v>0</v>
      </c>
      <c r="L9" s="3">
        <f t="shared" si="0"/>
        <v>0.11799999999999999</v>
      </c>
      <c r="M9" s="3">
        <f t="shared" si="0"/>
        <v>9.1999999999999993</v>
      </c>
      <c r="N9" s="3">
        <f t="shared" si="0"/>
        <v>131.30000000000001</v>
      </c>
      <c r="O9" s="3">
        <f t="shared" si="0"/>
        <v>42.58</v>
      </c>
      <c r="P9" s="3">
        <f t="shared" si="0"/>
        <v>0.89</v>
      </c>
      <c r="Q9" s="3"/>
      <c r="R9" s="3">
        <f>SUM(R6:R8)</f>
        <v>29.915000000000006</v>
      </c>
    </row>
    <row r="10" spans="1:18" s="9" customFormat="1" ht="22.2" customHeight="1">
      <c r="A10" s="53"/>
      <c r="B10" s="54" t="s">
        <v>29</v>
      </c>
      <c r="C10" s="55"/>
      <c r="D10" s="55"/>
      <c r="E10" s="55"/>
      <c r="F10" s="55"/>
      <c r="G10" s="55"/>
      <c r="H10" s="55"/>
      <c r="I10" s="55"/>
      <c r="J10" s="55"/>
      <c r="K10" s="55"/>
      <c r="L10" s="55"/>
      <c r="M10" s="55"/>
      <c r="N10" s="55"/>
      <c r="O10" s="55"/>
      <c r="P10" s="55"/>
      <c r="Q10" s="55"/>
      <c r="R10" s="56"/>
    </row>
    <row r="11" spans="1:18" s="6" customFormat="1" ht="18">
      <c r="A11" s="5"/>
      <c r="B11" s="2" t="s">
        <v>30</v>
      </c>
      <c r="C11" s="2">
        <v>1</v>
      </c>
      <c r="D11" s="2">
        <v>0</v>
      </c>
      <c r="E11" s="2">
        <f>C11-D11</f>
        <v>1</v>
      </c>
      <c r="F11" s="2">
        <f>E11*21.74%</f>
        <v>0.21739999999999998</v>
      </c>
      <c r="G11" s="2">
        <f>E11*7.61%</f>
        <v>7.6100000000000001E-2</v>
      </c>
      <c r="H11" s="2">
        <f>E11*2.86%</f>
        <v>2.86E-2</v>
      </c>
      <c r="I11" s="2">
        <f>E11*9.18%</f>
        <v>9.1799999999999993E-2</v>
      </c>
      <c r="J11" s="2">
        <f>E11*4.7%</f>
        <v>4.7E-2</v>
      </c>
      <c r="K11" s="2">
        <f>E11*11%</f>
        <v>0.11</v>
      </c>
      <c r="L11" s="2">
        <f>E11*5.6%</f>
        <v>5.5999999999999994E-2</v>
      </c>
      <c r="M11" s="2">
        <f>E11*50%</f>
        <v>0.5</v>
      </c>
      <c r="N11" s="2">
        <f>E11*10%</f>
        <v>0.1</v>
      </c>
      <c r="O11" s="2">
        <f>E11*110%</f>
        <v>1.1000000000000001</v>
      </c>
      <c r="P11" s="2">
        <f>E11*456%</f>
        <v>4.5599999999999996</v>
      </c>
      <c r="Q11" s="2">
        <v>650</v>
      </c>
      <c r="R11" s="2">
        <f>C11/1000*Q11</f>
        <v>0.65</v>
      </c>
    </row>
    <row r="12" spans="1:18" s="10" customFormat="1" ht="22.2" customHeight="1">
      <c r="A12" s="21"/>
      <c r="B12" s="2" t="s">
        <v>21</v>
      </c>
      <c r="C12" s="2">
        <v>15</v>
      </c>
      <c r="D12" s="2">
        <v>0</v>
      </c>
      <c r="E12" s="2">
        <v>15</v>
      </c>
      <c r="F12" s="2">
        <v>0</v>
      </c>
      <c r="G12" s="2">
        <v>0</v>
      </c>
      <c r="H12" s="2">
        <f>E12*99.8%</f>
        <v>14.97</v>
      </c>
      <c r="I12" s="2">
        <f>E12*379%</f>
        <v>56.85</v>
      </c>
      <c r="J12" s="2">
        <v>0</v>
      </c>
      <c r="K12" s="2">
        <v>0</v>
      </c>
      <c r="L12" s="2">
        <v>0</v>
      </c>
      <c r="M12" s="2">
        <f>E12*2%</f>
        <v>0.3</v>
      </c>
      <c r="N12" s="2">
        <v>0</v>
      </c>
      <c r="O12" s="2">
        <v>0</v>
      </c>
      <c r="P12" s="2">
        <f>E12*0.3%</f>
        <v>4.4999999999999998E-2</v>
      </c>
      <c r="Q12" s="2">
        <v>60</v>
      </c>
      <c r="R12" s="2">
        <f>C12/1000*60</f>
        <v>0.89999999999999991</v>
      </c>
    </row>
    <row r="13" spans="1:18" s="11" customFormat="1" ht="22.2" customHeight="1">
      <c r="A13" s="21"/>
      <c r="B13" s="4" t="s">
        <v>19</v>
      </c>
      <c r="C13" s="3">
        <f>SUM(C11:C12)</f>
        <v>16</v>
      </c>
      <c r="D13" s="3">
        <f>SUM(D12:D12)</f>
        <v>0</v>
      </c>
      <c r="E13" s="3">
        <v>150</v>
      </c>
      <c r="F13" s="3">
        <f t="shared" ref="F13:P13" si="1">SUM(F12:F12)</f>
        <v>0</v>
      </c>
      <c r="G13" s="3">
        <f t="shared" si="1"/>
        <v>0</v>
      </c>
      <c r="H13" s="3">
        <f t="shared" si="1"/>
        <v>14.97</v>
      </c>
      <c r="I13" s="3">
        <f t="shared" si="1"/>
        <v>56.85</v>
      </c>
      <c r="J13" s="3">
        <f t="shared" si="1"/>
        <v>0</v>
      </c>
      <c r="K13" s="3">
        <f t="shared" si="1"/>
        <v>0</v>
      </c>
      <c r="L13" s="3">
        <f t="shared" si="1"/>
        <v>0</v>
      </c>
      <c r="M13" s="3">
        <f t="shared" si="1"/>
        <v>0.3</v>
      </c>
      <c r="N13" s="3">
        <f t="shared" si="1"/>
        <v>0</v>
      </c>
      <c r="O13" s="3">
        <f t="shared" si="1"/>
        <v>0</v>
      </c>
      <c r="P13" s="3">
        <f t="shared" si="1"/>
        <v>4.4999999999999998E-2</v>
      </c>
      <c r="Q13" s="3"/>
      <c r="R13" s="3">
        <f>SUM(R11:R12)</f>
        <v>1.5499999999999998</v>
      </c>
    </row>
    <row r="14" spans="1:18" s="11" customFormat="1" ht="18">
      <c r="A14" s="5"/>
      <c r="B14" s="57" t="s">
        <v>24</v>
      </c>
      <c r="C14" s="58"/>
      <c r="D14" s="58"/>
      <c r="E14" s="58"/>
      <c r="F14" s="58"/>
      <c r="G14" s="58"/>
      <c r="H14" s="58"/>
      <c r="I14" s="58"/>
      <c r="J14" s="58"/>
      <c r="K14" s="58"/>
      <c r="L14" s="58"/>
      <c r="M14" s="58"/>
      <c r="N14" s="58"/>
      <c r="O14" s="58"/>
      <c r="P14" s="58"/>
      <c r="Q14" s="58"/>
      <c r="R14" s="59"/>
    </row>
    <row r="15" spans="1:18" s="11" customFormat="1" ht="18">
      <c r="A15" s="5"/>
      <c r="B15" s="4" t="s">
        <v>19</v>
      </c>
      <c r="C15" s="3">
        <v>50</v>
      </c>
      <c r="D15" s="3">
        <v>0</v>
      </c>
      <c r="E15" s="3">
        <v>50</v>
      </c>
      <c r="F15" s="3">
        <f>E15*7.9%</f>
        <v>3.95</v>
      </c>
      <c r="G15" s="3">
        <f>E15*1%</f>
        <v>0.5</v>
      </c>
      <c r="H15" s="3">
        <f>E15*48.1%</f>
        <v>24.05</v>
      </c>
      <c r="I15" s="3">
        <f>E15*239%</f>
        <v>119.5</v>
      </c>
      <c r="J15" s="3">
        <f>E15*0.16%</f>
        <v>0.08</v>
      </c>
      <c r="K15" s="3">
        <v>0</v>
      </c>
      <c r="L15" s="3">
        <v>0</v>
      </c>
      <c r="M15" s="3">
        <f>E15*23%</f>
        <v>11.5</v>
      </c>
      <c r="N15" s="3">
        <f>E15*87%</f>
        <v>43.5</v>
      </c>
      <c r="O15" s="3">
        <f>E15*33%</f>
        <v>16.5</v>
      </c>
      <c r="P15" s="3">
        <f>E15*2%</f>
        <v>1</v>
      </c>
      <c r="Q15" s="3">
        <v>50</v>
      </c>
      <c r="R15" s="3">
        <f>C15/1000*50</f>
        <v>2.5</v>
      </c>
    </row>
    <row r="16" spans="1:18" s="11" customFormat="1" ht="18">
      <c r="A16" s="5"/>
      <c r="B16" s="57" t="s">
        <v>31</v>
      </c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7"/>
    </row>
    <row r="17" spans="1:18" s="11" customFormat="1" ht="18">
      <c r="A17" s="60"/>
      <c r="B17" s="4" t="s">
        <v>19</v>
      </c>
      <c r="C17" s="2">
        <v>50</v>
      </c>
      <c r="D17" s="2">
        <v>0</v>
      </c>
      <c r="E17" s="2">
        <f>C17-D17</f>
        <v>50</v>
      </c>
      <c r="F17" s="2">
        <f>E17*12.5%</f>
        <v>6.25</v>
      </c>
      <c r="G17" s="2">
        <f>E17*11.5%</f>
        <v>5.75</v>
      </c>
      <c r="H17" s="2">
        <f>E17*0.7%</f>
        <v>0.35</v>
      </c>
      <c r="I17" s="2">
        <f>E17*157%</f>
        <v>78.5</v>
      </c>
      <c r="J17" s="2">
        <f>E17*0.07%</f>
        <v>3.5000000000000003E-2</v>
      </c>
      <c r="K17" s="2">
        <f>E17*0%</f>
        <v>0</v>
      </c>
      <c r="L17" s="2">
        <f>E17*0.25%</f>
        <v>0.125</v>
      </c>
      <c r="M17" s="2">
        <f>E17*55%</f>
        <v>27.500000000000004</v>
      </c>
      <c r="N17" s="2">
        <f>E17*192%</f>
        <v>96</v>
      </c>
      <c r="O17" s="2">
        <f>E17*12%</f>
        <v>6</v>
      </c>
      <c r="P17" s="2">
        <f>E17*2.5%</f>
        <v>1.25</v>
      </c>
      <c r="Q17" s="2">
        <v>160</v>
      </c>
      <c r="R17" s="3">
        <f>C17/1000*Q17</f>
        <v>8</v>
      </c>
    </row>
    <row r="18" spans="1:18" s="11" customFormat="1" ht="18">
      <c r="A18" s="5"/>
      <c r="B18" s="57" t="s">
        <v>32</v>
      </c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7"/>
    </row>
    <row r="19" spans="1:18" s="12" customFormat="1" ht="18">
      <c r="A19" s="5"/>
      <c r="B19" s="4" t="s">
        <v>19</v>
      </c>
      <c r="C19" s="3">
        <v>50</v>
      </c>
      <c r="D19" s="3">
        <v>0</v>
      </c>
      <c r="E19" s="3">
        <f>C19-D19</f>
        <v>50</v>
      </c>
      <c r="F19" s="2">
        <f>E19*7.5%</f>
        <v>3.75</v>
      </c>
      <c r="G19" s="2">
        <f>E19*11.8%</f>
        <v>5.9</v>
      </c>
      <c r="H19" s="2">
        <f>E19*74.4%</f>
        <v>37.200000000000003</v>
      </c>
      <c r="I19" s="2">
        <f>E19*436%</f>
        <v>218.00000000000003</v>
      </c>
      <c r="J19" s="2">
        <f>E19*0.08%</f>
        <v>0.04</v>
      </c>
      <c r="K19" s="2">
        <f>E19*0%</f>
        <v>0</v>
      </c>
      <c r="L19" s="2">
        <f>E19*0%</f>
        <v>0</v>
      </c>
      <c r="M19" s="2">
        <f>E19*29%</f>
        <v>14.499999999999998</v>
      </c>
      <c r="N19" s="2">
        <f>E19*90%</f>
        <v>45</v>
      </c>
      <c r="O19" s="2">
        <f>E19*20%</f>
        <v>10</v>
      </c>
      <c r="P19" s="2">
        <f>E19*2.1%</f>
        <v>1.05</v>
      </c>
      <c r="Q19" s="2">
        <v>100</v>
      </c>
      <c r="R19" s="3">
        <f>C19/1000*Q19</f>
        <v>5</v>
      </c>
    </row>
    <row r="20" spans="1:18" s="13" customFormat="1" ht="18">
      <c r="A20" s="5"/>
      <c r="B20" s="57" t="s">
        <v>33</v>
      </c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7"/>
    </row>
    <row r="21" spans="1:18" s="13" customFormat="1" ht="18">
      <c r="A21" s="5"/>
      <c r="B21" s="4" t="s">
        <v>19</v>
      </c>
      <c r="C21" s="3">
        <v>140</v>
      </c>
      <c r="D21" s="3">
        <v>0</v>
      </c>
      <c r="E21" s="3">
        <f>C21-D21</f>
        <v>140</v>
      </c>
      <c r="F21" s="3">
        <f>E21*1.5%</f>
        <v>2.1</v>
      </c>
      <c r="G21" s="3">
        <f>E21*0.5%</f>
        <v>0.70000000000000007</v>
      </c>
      <c r="H21" s="3">
        <f>E21*21%</f>
        <v>29.4</v>
      </c>
      <c r="I21" s="3">
        <f>E21*96%</f>
        <v>134.4</v>
      </c>
      <c r="J21" s="3">
        <v>0</v>
      </c>
      <c r="K21" s="3">
        <v>8.6999999999999993</v>
      </c>
      <c r="L21" s="3">
        <v>3</v>
      </c>
      <c r="M21" s="3">
        <v>5</v>
      </c>
      <c r="N21" s="3">
        <v>22</v>
      </c>
      <c r="O21" s="3">
        <v>27</v>
      </c>
      <c r="P21" s="3">
        <v>0.3</v>
      </c>
      <c r="Q21" s="3">
        <v>100</v>
      </c>
      <c r="R21" s="3">
        <f>C21/1000*Q21</f>
        <v>14.000000000000002</v>
      </c>
    </row>
    <row r="22" spans="1:18" s="6" customFormat="1" ht="18">
      <c r="A22" s="5"/>
      <c r="B22" s="61" t="s">
        <v>34</v>
      </c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3"/>
    </row>
    <row r="23" spans="1:18" s="13" customFormat="1" ht="18">
      <c r="A23" s="5"/>
      <c r="B23" s="4" t="s">
        <v>35</v>
      </c>
      <c r="C23" s="19">
        <v>3</v>
      </c>
      <c r="D23" s="3">
        <v>0</v>
      </c>
      <c r="E23" s="19">
        <f>C23-D23</f>
        <v>3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10</v>
      </c>
      <c r="R23" s="19">
        <f>C23/1000*Q23</f>
        <v>0.03</v>
      </c>
    </row>
    <row r="24" spans="1:18" s="13" customFormat="1" ht="23.4">
      <c r="A24" s="62"/>
      <c r="B24" s="20" t="s">
        <v>19</v>
      </c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>
        <f>R23+R21+R19+R17+R15+R13+R9</f>
        <v>60.995000000000005</v>
      </c>
    </row>
    <row r="25" spans="1:18">
      <c r="R25" s="6"/>
    </row>
    <row r="26" spans="1:18">
      <c r="R26" s="13"/>
    </row>
    <row r="27" spans="1:18">
      <c r="R27" s="13"/>
    </row>
  </sheetData>
  <mergeCells count="27">
    <mergeCell ref="B22:R22"/>
    <mergeCell ref="B10:R10"/>
    <mergeCell ref="B14:R14"/>
    <mergeCell ref="B16:R16"/>
    <mergeCell ref="B18:R18"/>
    <mergeCell ref="B20:R20"/>
    <mergeCell ref="O3:O4"/>
    <mergeCell ref="G2:G4"/>
    <mergeCell ref="H2:H4"/>
    <mergeCell ref="I2:I4"/>
    <mergeCell ref="P3:P4"/>
    <mergeCell ref="F2:F4"/>
    <mergeCell ref="L3:L4"/>
    <mergeCell ref="M3:M4"/>
    <mergeCell ref="N3:N4"/>
    <mergeCell ref="J2:L2"/>
    <mergeCell ref="J3:J4"/>
    <mergeCell ref="K3:K4"/>
    <mergeCell ref="B2:B3"/>
    <mergeCell ref="A2:A3"/>
    <mergeCell ref="C2:C4"/>
    <mergeCell ref="B5:R5"/>
    <mergeCell ref="R2:R4"/>
    <mergeCell ref="D2:D4"/>
    <mergeCell ref="E2:E4"/>
    <mergeCell ref="Q2:Q4"/>
    <mergeCell ref="M2:P2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2022-03-12T17:47:26Z</dcterms:modified>
</cp:coreProperties>
</file>