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R26" i="1"/>
  <c r="E26"/>
  <c r="R24"/>
  <c r="E24"/>
  <c r="F24" s="1"/>
  <c r="O22"/>
  <c r="N22"/>
  <c r="L22"/>
  <c r="K22"/>
  <c r="J22"/>
  <c r="G22"/>
  <c r="F22"/>
  <c r="D22"/>
  <c r="C22"/>
  <c r="R21"/>
  <c r="P21"/>
  <c r="P22" s="1"/>
  <c r="M21"/>
  <c r="M22" s="1"/>
  <c r="I21"/>
  <c r="I22" s="1"/>
  <c r="H21"/>
  <c r="H22" s="1"/>
  <c r="R20"/>
  <c r="E20"/>
  <c r="N20" s="1"/>
  <c r="R18"/>
  <c r="P18"/>
  <c r="O18"/>
  <c r="N18"/>
  <c r="M18"/>
  <c r="J18"/>
  <c r="I18"/>
  <c r="H18"/>
  <c r="G18"/>
  <c r="F18"/>
  <c r="L16"/>
  <c r="C16"/>
  <c r="R15"/>
  <c r="E15"/>
  <c r="J15" s="1"/>
  <c r="R14"/>
  <c r="M14"/>
  <c r="E14"/>
  <c r="H14" s="1"/>
  <c r="R13"/>
  <c r="E13"/>
  <c r="P13" s="1"/>
  <c r="R12"/>
  <c r="D12"/>
  <c r="E12" s="1"/>
  <c r="R11"/>
  <c r="E11"/>
  <c r="O11" s="1"/>
  <c r="R10"/>
  <c r="E10"/>
  <c r="E16" s="1"/>
  <c r="D10"/>
  <c r="K8"/>
  <c r="D8"/>
  <c r="C8"/>
  <c r="R7"/>
  <c r="E7"/>
  <c r="O7" s="1"/>
  <c r="R6"/>
  <c r="P6"/>
  <c r="O6"/>
  <c r="N6"/>
  <c r="M6"/>
  <c r="J6"/>
  <c r="J8" s="1"/>
  <c r="I6"/>
  <c r="H6"/>
  <c r="G6"/>
  <c r="F6"/>
  <c r="R22" l="1"/>
  <c r="R27" s="1"/>
  <c r="H7"/>
  <c r="H8" s="1"/>
  <c r="K14"/>
  <c r="G7"/>
  <c r="R16"/>
  <c r="F14"/>
  <c r="G8"/>
  <c r="R8"/>
  <c r="M7"/>
  <c r="M8" s="1"/>
  <c r="F10"/>
  <c r="H11"/>
  <c r="G15"/>
  <c r="N11"/>
  <c r="M11"/>
  <c r="O8"/>
  <c r="N7"/>
  <c r="N8" s="1"/>
  <c r="M10"/>
  <c r="I11"/>
  <c r="P14"/>
  <c r="I15"/>
  <c r="O12"/>
  <c r="J12"/>
  <c r="H12"/>
  <c r="N12"/>
  <c r="I12"/>
  <c r="P12"/>
  <c r="K12"/>
  <c r="F12"/>
  <c r="M12"/>
  <c r="O13"/>
  <c r="I20"/>
  <c r="J10"/>
  <c r="H13"/>
  <c r="O14"/>
  <c r="L20"/>
  <c r="P20"/>
  <c r="F7"/>
  <c r="F8" s="1"/>
  <c r="L7"/>
  <c r="L8" s="1"/>
  <c r="P7"/>
  <c r="P8" s="1"/>
  <c r="I10"/>
  <c r="O10"/>
  <c r="F11"/>
  <c r="K11"/>
  <c r="P11"/>
  <c r="G13"/>
  <c r="M13"/>
  <c r="I14"/>
  <c r="N14"/>
  <c r="G20"/>
  <c r="K20"/>
  <c r="O20"/>
  <c r="G24"/>
  <c r="I13"/>
  <c r="D16"/>
  <c r="M20"/>
  <c r="I24"/>
  <c r="P10"/>
  <c r="N13"/>
  <c r="J14"/>
  <c r="H20"/>
  <c r="H24"/>
  <c r="I7"/>
  <c r="I8" s="1"/>
  <c r="G10"/>
  <c r="N10"/>
  <c r="J11"/>
  <c r="F13"/>
  <c r="J13"/>
  <c r="F20"/>
  <c r="J20"/>
  <c r="M16" l="1"/>
  <c r="P16"/>
  <c r="O16"/>
  <c r="F16"/>
  <c r="N16"/>
  <c r="I16"/>
  <c r="J16"/>
  <c r="H16"/>
  <c r="G16"/>
  <c r="K16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<sst xmlns="http://schemas.openxmlformats.org/spreadsheetml/2006/main" count="46" uniqueCount="40">
  <si>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</si>
  <si>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</si>
  <si>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</si>
  <si>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</si>
  <si>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</si>
  <si>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</si>
  <si>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</si>
  <si>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</si>
  <si>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</si>
  <si>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</si>
  <si>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</si>
  <si>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</si>
  <si>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</si>
  <si>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</si>
  <si>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</si>
  <si>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</si>
  <si>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</si>
  <si>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</si>
  <si>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</si>
  <si>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</si>
  <si>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</si>
  <si>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 xml:space="preserve"> всего грамм</t>
  </si>
  <si>
    <t>4.чай</t>
  </si>
  <si>
    <t>чай</t>
  </si>
  <si>
    <t>сахар</t>
  </si>
  <si>
    <t>масло сливочное</t>
  </si>
  <si>
    <t xml:space="preserve">сумма </t>
  </si>
  <si>
    <t>1.макароны отварные</t>
  </si>
  <si>
    <t>макароны</t>
  </si>
  <si>
    <t>2.гуляш из говядины</t>
  </si>
  <si>
    <t>мясо говядины</t>
  </si>
  <si>
    <t>морковь</t>
  </si>
  <si>
    <t>лук</t>
  </si>
  <si>
    <t>мука</t>
  </si>
  <si>
    <t>томат</t>
  </si>
  <si>
    <t>масло растительное</t>
  </si>
  <si>
    <t>3.Хлеб</t>
  </si>
  <si>
    <t>6.Соль</t>
  </si>
  <si>
    <t>08.02.2022 г</t>
  </si>
  <si>
    <t>5.бананы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</si>
</sst>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Calibri"/>
      <family val="2"/>
      <charset val="204"/>
    </font>
    <font>
      <sz val="14"/>
      <color indexed="8"/>
      <name val="Calibri"/>
      <family val="2"/>
    </font>
    <font>
      <b/>
      <sz val="1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84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9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10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11" fillId="0" borderId="1" xfId="0" applyFont="1" applyBorder="1"/>
    <xf numFmtId="0" fontId="12" fillId="0" borderId="0" xfId="0" applyFont="1"/>
    <xf numFmtId="1" fontId="7" fillId="0" borderId="1" xfId="0" applyNumberFormat="1" applyFont="1" applyBorder="1"/>
    <xf numFmtId="14" fontId="2" fillId="0" borderId="1" xfId="0" applyNumberFormat="1" applyFont="1" applyBorder="1"/>
    <xf numFmtId="2" fontId="3" fillId="2" borderId="1" xfId="0" applyNumberFormat="1" applyFont="1" applyFill="1" applyBorder="1" applyAlignment="1"/>
    <xf numFmtId="2" fontId="8" fillId="0" borderId="1" xfId="1" applyNumberFormat="1" applyFont="1" applyFill="1" applyBorder="1" applyAlignment="1" applyProtection="1">
      <alignment horizontal="left" vertical="center" wrapText="1"/>
    </xf>
    <xf numFmtId="1" fontId="7" fillId="0" borderId="1" xfId="0" applyNumberFormat="1" applyFont="1" applyBorder="1" applyAlignment="1"/>
    <xf numFmtId="0" fontId="0" fillId="0" borderId="1" xfId="0" applyBorder="1" applyAlignment="1"/>
    <xf numFmtId="2" fontId="0" fillId="0" borderId="1" xfId="0" applyNumberFormat="1" applyBorder="1" applyAlignment="1"/>
    <xf numFmtId="2" fontId="16" fillId="0" borderId="1" xfId="0" applyNumberFormat="1" applyFont="1" applyBorder="1" applyAlignment="1"/>
    <xf numFmtId="0" fontId="5" fillId="0" borderId="1" xfId="0" applyFont="1" applyBorder="1" applyAlignment="1"/>
    <xf numFmtId="1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1" fontId="5" fillId="0" borderId="1" xfId="0" applyNumberFormat="1" applyFont="1" applyBorder="1" applyAlignment="1">
      <alignment vertical="center"/>
    </xf>
    <xf numFmtId="2" fontId="16" fillId="0" borderId="1" xfId="0" applyNumberFormat="1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2" fontId="20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2" fontId="23" fillId="0" borderId="1" xfId="0" applyNumberFormat="1" applyFont="1" applyBorder="1" applyAlignment="1">
      <alignment vertical="center"/>
    </xf>
    <xf numFmtId="2" fontId="17" fillId="0" borderId="3" xfId="0" applyNumberFormat="1" applyFont="1" applyBorder="1" applyAlignment="1">
      <alignment horizontal="center"/>
    </xf>
    <xf numFmtId="2" fontId="17" fillId="0" borderId="4" xfId="0" applyNumberFormat="1" applyFont="1" applyBorder="1" applyAlignment="1">
      <alignment horizontal="center"/>
    </xf>
    <xf numFmtId="2" fontId="17" fillId="0" borderId="5" xfId="0" applyNumberFormat="1" applyFont="1" applyBorder="1" applyAlignment="1">
      <alignment horizontal="center"/>
    </xf>
    <xf numFmtId="0" fontId="18" fillId="0" borderId="3" xfId="1" applyNumberFormat="1" applyFont="1" applyFill="1" applyBorder="1" applyAlignment="1" applyProtection="1">
      <alignment horizontal="center" vertical="top" wrapText="1"/>
    </xf>
    <xf numFmtId="0" fontId="18" fillId="0" borderId="4" xfId="1" applyNumberFormat="1" applyFont="1" applyFill="1" applyBorder="1" applyAlignment="1" applyProtection="1">
      <alignment horizontal="center" vertical="top" wrapText="1"/>
    </xf>
    <xf numFmtId="0" fontId="18" fillId="0" borderId="5" xfId="1" applyNumberFormat="1" applyFont="1" applyFill="1" applyBorder="1" applyAlignment="1" applyProtection="1">
      <alignment horizontal="center" vertical="top" wrapText="1"/>
    </xf>
    <xf numFmtId="2" fontId="21" fillId="0" borderId="3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2" fontId="3" fillId="0" borderId="2" xfId="1" applyNumberFormat="1" applyFont="1" applyFill="1" applyBorder="1" applyAlignment="1" applyProtection="1">
      <alignment horizontal="center" vertical="center"/>
    </xf>
    <xf numFmtId="2" fontId="3" fillId="0" borderId="6" xfId="1" applyNumberFormat="1" applyFont="1" applyFill="1" applyBorder="1" applyAlignment="1" applyProtection="1">
      <alignment horizontal="center" vertical="center"/>
    </xf>
    <xf numFmtId="2" fontId="3" fillId="2" borderId="2" xfId="1" applyNumberFormat="1" applyFont="1" applyFill="1" applyBorder="1" applyAlignment="1" applyProtection="1">
      <alignment horizontal="center" vertical="center"/>
    </xf>
    <xf numFmtId="2" fontId="3" fillId="2" borderId="6" xfId="1" applyNumberFormat="1" applyFont="1" applyFill="1" applyBorder="1" applyAlignment="1" applyProtection="1">
      <alignment horizontal="center" vertical="center"/>
    </xf>
    <xf numFmtId="2" fontId="3" fillId="0" borderId="3" xfId="1" applyNumberFormat="1" applyFont="1" applyFill="1" applyBorder="1" applyAlignment="1" applyProtection="1">
      <alignment horizontal="center" vertical="center"/>
    </xf>
    <xf numFmtId="2" fontId="3" fillId="0" borderId="4" xfId="1" applyNumberFormat="1" applyFont="1" applyFill="1" applyBorder="1" applyAlignment="1" applyProtection="1">
      <alignment horizontal="center" vertical="center"/>
    </xf>
    <xf numFmtId="2" fontId="3" fillId="0" borderId="5" xfId="1" applyNumberFormat="1" applyFont="1" applyFill="1" applyBorder="1" applyAlignment="1" applyProtection="1">
      <alignment horizontal="center" vertical="center"/>
    </xf>
    <xf numFmtId="2" fontId="3" fillId="0" borderId="7" xfId="1" applyNumberFormat="1" applyFont="1" applyFill="1" applyBorder="1" applyAlignment="1" applyProtection="1">
      <alignment horizontal="center" vertical="center"/>
    </xf>
    <xf numFmtId="2" fontId="15" fillId="0" borderId="3" xfId="0" applyNumberFormat="1" applyFont="1" applyBorder="1" applyAlignment="1">
      <alignment horizontal="center"/>
    </xf>
    <xf numFmtId="2" fontId="22" fillId="0" borderId="4" xfId="0" applyNumberFormat="1" applyFont="1" applyBorder="1" applyAlignment="1">
      <alignment horizontal="center"/>
    </xf>
    <xf numFmtId="2" fontId="22" fillId="0" borderId="5" xfId="0" applyNumberFormat="1" applyFont="1" applyBorder="1" applyAlignment="1">
      <alignment horizontal="center"/>
    </xf>
    <xf numFmtId="2" fontId="15" fillId="0" borderId="3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3" fillId="0" borderId="2" xfId="1" applyNumberFormat="1" applyFont="1" applyFill="1" applyBorder="1" applyAlignment="1" applyProtection="1">
      <alignment horizontal="center" vertical="center"/>
    </xf>
    <xf numFmtId="2" fontId="13" fillId="0" borderId="6" xfId="1" applyNumberFormat="1" applyFont="1" applyFill="1" applyBorder="1" applyAlignment="1" applyProtection="1">
      <alignment horizontal="center" vertical="center"/>
    </xf>
    <xf numFmtId="2" fontId="3" fillId="2" borderId="2" xfId="0" applyNumberFormat="1" applyFont="1" applyFill="1" applyBorder="1" applyAlignment="1">
      <alignment horizontal="center"/>
    </xf>
    <xf numFmtId="2" fontId="3" fillId="2" borderId="6" xfId="0" applyNumberFormat="1" applyFont="1" applyFill="1" applyBorder="1" applyAlignment="1">
      <alignment horizontal="center"/>
    </xf>
    <xf numFmtId="2" fontId="14" fillId="0" borderId="2" xfId="1" applyNumberFormat="1" applyFont="1" applyFill="1" applyBorder="1" applyAlignment="1" applyProtection="1">
      <alignment horizontal="center" vertical="center" wrapText="1"/>
    </xf>
    <xf numFmtId="2" fontId="14" fillId="0" borderId="7" xfId="1" applyNumberFormat="1" applyFont="1" applyFill="1" applyBorder="1" applyAlignment="1" applyProtection="1">
      <alignment horizontal="center" vertical="center" wrapText="1"/>
    </xf>
    <xf numFmtId="2" fontId="14" fillId="0" borderId="6" xfId="1" applyNumberFormat="1" applyFont="1" applyFill="1" applyBorder="1" applyAlignment="1" applyProtection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3" fillId="2" borderId="7" xfId="1" applyNumberFormat="1" applyFont="1" applyFill="1" applyBorder="1" applyAlignment="1" applyProtection="1">
      <alignment horizontal="center" vertical="center"/>
    </xf>
    <xf numFmtId="2" fontId="14" fillId="0" borderId="2" xfId="1" applyNumberFormat="1" applyFont="1" applyFill="1" applyBorder="1" applyAlignment="1" applyProtection="1">
      <alignment horizontal="center" vertical="center"/>
    </xf>
    <xf numFmtId="2" fontId="14" fillId="0" borderId="7" xfId="1" applyNumberFormat="1" applyFont="1" applyFill="1" applyBorder="1" applyAlignment="1" applyProtection="1">
      <alignment horizontal="center" vertical="center"/>
    </xf>
    <xf numFmtId="2" fontId="14" fillId="0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7"/>
  <sheetViews>
    <sheetView tabSelected="1" topLeftCell="A4" workbookViewId="0">
      <selection activeCell="N30" sqref="N30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7" t="s">
        <v>38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70"/>
      <c r="B2" s="68" t="s">
        <v>5</v>
      </c>
      <c r="C2" s="72" t="s">
        <v>21</v>
      </c>
      <c r="D2" s="56" t="s">
        <v>6</v>
      </c>
      <c r="E2" s="56" t="s">
        <v>7</v>
      </c>
      <c r="F2" s="54" t="s">
        <v>2</v>
      </c>
      <c r="G2" s="54" t="s">
        <v>3</v>
      </c>
      <c r="H2" s="81" t="s">
        <v>4</v>
      </c>
      <c r="I2" s="54" t="s">
        <v>8</v>
      </c>
      <c r="J2" s="58" t="s">
        <v>9</v>
      </c>
      <c r="K2" s="59"/>
      <c r="L2" s="60"/>
      <c r="M2" s="58" t="s">
        <v>10</v>
      </c>
      <c r="N2" s="59"/>
      <c r="O2" s="59"/>
      <c r="P2" s="60"/>
      <c r="Q2" s="54" t="s">
        <v>11</v>
      </c>
      <c r="R2" s="77" t="s">
        <v>26</v>
      </c>
    </row>
    <row r="3" spans="1:18" ht="24" customHeight="1">
      <c r="A3" s="71"/>
      <c r="B3" s="69"/>
      <c r="C3" s="73"/>
      <c r="D3" s="80"/>
      <c r="E3" s="80"/>
      <c r="F3" s="61"/>
      <c r="G3" s="61"/>
      <c r="H3" s="82"/>
      <c r="I3" s="61"/>
      <c r="J3" s="54" t="s">
        <v>12</v>
      </c>
      <c r="K3" s="56" t="s">
        <v>13</v>
      </c>
      <c r="L3" s="54" t="s">
        <v>14</v>
      </c>
      <c r="M3" s="54" t="s">
        <v>15</v>
      </c>
      <c r="N3" s="54" t="s">
        <v>16</v>
      </c>
      <c r="O3" s="54" t="s">
        <v>17</v>
      </c>
      <c r="P3" s="54" t="s">
        <v>18</v>
      </c>
      <c r="Q3" s="61"/>
      <c r="R3" s="78"/>
    </row>
    <row r="4" spans="1:18" ht="24" customHeight="1">
      <c r="A4" s="18"/>
      <c r="B4" s="19"/>
      <c r="C4" s="74"/>
      <c r="D4" s="57"/>
      <c r="E4" s="57"/>
      <c r="F4" s="55"/>
      <c r="G4" s="55"/>
      <c r="H4" s="83"/>
      <c r="I4" s="55"/>
      <c r="J4" s="55"/>
      <c r="K4" s="57"/>
      <c r="L4" s="55"/>
      <c r="M4" s="55"/>
      <c r="N4" s="55"/>
      <c r="O4" s="55"/>
      <c r="P4" s="55"/>
      <c r="Q4" s="55"/>
      <c r="R4" s="79"/>
    </row>
    <row r="5" spans="1:18" s="6" customFormat="1" ht="19.2" customHeight="1">
      <c r="A5" s="20"/>
      <c r="B5" s="75" t="s">
        <v>27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s="7" customFormat="1" ht="22.2" customHeight="1">
      <c r="A6" s="20"/>
      <c r="B6" s="21" t="s">
        <v>28</v>
      </c>
      <c r="C6" s="22">
        <v>50</v>
      </c>
      <c r="D6" s="22">
        <v>0</v>
      </c>
      <c r="E6" s="22">
        <v>50</v>
      </c>
      <c r="F6" s="22">
        <f>E6*12.6%</f>
        <v>6.3</v>
      </c>
      <c r="G6" s="22">
        <f>E6*3.3%</f>
        <v>1.6500000000000001</v>
      </c>
      <c r="H6" s="22">
        <f>E6*62.1%</f>
        <v>31.05</v>
      </c>
      <c r="I6" s="22">
        <f>E6*335%</f>
        <v>167.5</v>
      </c>
      <c r="J6" s="22">
        <f>E6*0.43%</f>
        <v>0.215</v>
      </c>
      <c r="K6" s="22">
        <v>0</v>
      </c>
      <c r="L6" s="22">
        <v>0</v>
      </c>
      <c r="M6" s="22">
        <f>E6*20%</f>
        <v>10</v>
      </c>
      <c r="N6" s="22">
        <f>E6*298%</f>
        <v>149</v>
      </c>
      <c r="O6" s="22">
        <f>E6*200%</f>
        <v>100</v>
      </c>
      <c r="P6" s="22">
        <f>E6*6.7%</f>
        <v>3.35</v>
      </c>
      <c r="Q6" s="22">
        <v>67</v>
      </c>
      <c r="R6" s="23">
        <f>C6/1000*67</f>
        <v>3.35</v>
      </c>
    </row>
    <row r="7" spans="1:18" s="8" customFormat="1" ht="19.2" customHeight="1">
      <c r="A7" s="24"/>
      <c r="B7" s="21" t="s">
        <v>25</v>
      </c>
      <c r="C7" s="22">
        <v>10</v>
      </c>
      <c r="D7" s="22">
        <v>0</v>
      </c>
      <c r="E7" s="22">
        <f>C7-D7</f>
        <v>10</v>
      </c>
      <c r="F7" s="22">
        <f>E7*0.5%</f>
        <v>0.05</v>
      </c>
      <c r="G7" s="22">
        <f>E7*82.5%</f>
        <v>8.25</v>
      </c>
      <c r="H7" s="22">
        <f>E7*0.8%</f>
        <v>0.08</v>
      </c>
      <c r="I7" s="22">
        <f>E7*748%</f>
        <v>74.800000000000011</v>
      </c>
      <c r="J7" s="22">
        <v>0</v>
      </c>
      <c r="K7" s="22">
        <v>0</v>
      </c>
      <c r="L7" s="22">
        <f>E7*0.59%</f>
        <v>5.8999999999999997E-2</v>
      </c>
      <c r="M7" s="22">
        <f>E7*12%</f>
        <v>1.2</v>
      </c>
      <c r="N7" s="22">
        <f>E7*19%</f>
        <v>1.9</v>
      </c>
      <c r="O7" s="22">
        <f>E7*0.4%</f>
        <v>0.04</v>
      </c>
      <c r="P7" s="22">
        <f>E7*0.2%</f>
        <v>0.02</v>
      </c>
      <c r="Q7" s="22">
        <v>480</v>
      </c>
      <c r="R7" s="23">
        <f>C7/1000*480</f>
        <v>4.8</v>
      </c>
    </row>
    <row r="8" spans="1:18" s="7" customFormat="1" ht="22.2" customHeight="1">
      <c r="A8" s="25"/>
      <c r="B8" s="26" t="s">
        <v>19</v>
      </c>
      <c r="C8" s="27">
        <f>C7+C6</f>
        <v>60</v>
      </c>
      <c r="D8" s="27">
        <f>SUM(D6:D7)</f>
        <v>0</v>
      </c>
      <c r="E8" s="27">
        <v>150</v>
      </c>
      <c r="F8" s="27">
        <f t="shared" ref="F8:P8" si="0">SUM(F6:F7)</f>
        <v>6.35</v>
      </c>
      <c r="G8" s="27">
        <f t="shared" si="0"/>
        <v>9.9</v>
      </c>
      <c r="H8" s="27">
        <f t="shared" si="0"/>
        <v>31.13</v>
      </c>
      <c r="I8" s="27">
        <f t="shared" si="0"/>
        <v>242.3</v>
      </c>
      <c r="J8" s="27">
        <f t="shared" si="0"/>
        <v>0.215</v>
      </c>
      <c r="K8" s="27">
        <f t="shared" si="0"/>
        <v>0</v>
      </c>
      <c r="L8" s="27">
        <f t="shared" si="0"/>
        <v>5.8999999999999997E-2</v>
      </c>
      <c r="M8" s="27">
        <f t="shared" si="0"/>
        <v>11.2</v>
      </c>
      <c r="N8" s="27">
        <f t="shared" si="0"/>
        <v>150.9</v>
      </c>
      <c r="O8" s="27">
        <f t="shared" si="0"/>
        <v>100.04</v>
      </c>
      <c r="P8" s="27">
        <f t="shared" si="0"/>
        <v>3.37</v>
      </c>
      <c r="Q8" s="27"/>
      <c r="R8" s="27">
        <f>SUM(R6:R7)</f>
        <v>8.15</v>
      </c>
    </row>
    <row r="9" spans="1:18" s="7" customFormat="1" ht="22.2" customHeight="1">
      <c r="A9" s="16"/>
      <c r="B9" s="48" t="s">
        <v>29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50"/>
    </row>
    <row r="10" spans="1:18" s="9" customFormat="1" ht="22.2" customHeight="1">
      <c r="A10" s="28"/>
      <c r="B10" s="29" t="s">
        <v>30</v>
      </c>
      <c r="C10" s="30">
        <v>60</v>
      </c>
      <c r="D10" s="30">
        <f>C10*26.4%</f>
        <v>15.84</v>
      </c>
      <c r="E10" s="30">
        <f>SUM(C10-D10)</f>
        <v>44.16</v>
      </c>
      <c r="F10" s="30">
        <f>E10*18.6%</f>
        <v>8.2137600000000006</v>
      </c>
      <c r="G10" s="30">
        <f>E10*16%</f>
        <v>7.0655999999999999</v>
      </c>
      <c r="H10" s="30">
        <v>0</v>
      </c>
      <c r="I10" s="30">
        <f>E10*218%</f>
        <v>96.268799999999999</v>
      </c>
      <c r="J10" s="30">
        <f>E10*0.06%</f>
        <v>2.6495999999999995E-2</v>
      </c>
      <c r="K10" s="30">
        <v>0</v>
      </c>
      <c r="L10" s="30">
        <v>0</v>
      </c>
      <c r="M10" s="30">
        <f>E10*9%</f>
        <v>3.9743999999999997</v>
      </c>
      <c r="N10" s="30">
        <f>E10*188%</f>
        <v>83.020799999999994</v>
      </c>
      <c r="O10" s="30">
        <f>E10*22%</f>
        <v>9.7151999999999994</v>
      </c>
      <c r="P10" s="30">
        <f>E10*2.7%</f>
        <v>1.19232</v>
      </c>
      <c r="Q10" s="30">
        <v>475</v>
      </c>
      <c r="R10" s="30">
        <f>C10/1000*475</f>
        <v>28.5</v>
      </c>
    </row>
    <row r="11" spans="1:18" s="6" customFormat="1" ht="18">
      <c r="A11" s="28"/>
      <c r="B11" s="29" t="s">
        <v>31</v>
      </c>
      <c r="C11" s="30">
        <v>25</v>
      </c>
      <c r="D11" s="30">
        <v>5</v>
      </c>
      <c r="E11" s="30">
        <f>C11-D11</f>
        <v>20</v>
      </c>
      <c r="F11" s="30">
        <f>E11*1.3%</f>
        <v>0.26</v>
      </c>
      <c r="G11" s="30">
        <v>0</v>
      </c>
      <c r="H11" s="30">
        <f>E11*7.2%</f>
        <v>1.4400000000000002</v>
      </c>
      <c r="I11" s="30">
        <f>E11*30%</f>
        <v>6</v>
      </c>
      <c r="J11" s="30">
        <f>E11*0.06%</f>
        <v>1.1999999999999999E-2</v>
      </c>
      <c r="K11" s="30">
        <f>E11*5%</f>
        <v>1</v>
      </c>
      <c r="L11" s="30">
        <v>0</v>
      </c>
      <c r="M11" s="30">
        <f>E11*51%</f>
        <v>10.199999999999999</v>
      </c>
      <c r="N11" s="30">
        <f>E11*55%</f>
        <v>11</v>
      </c>
      <c r="O11" s="30">
        <f>E11*38%</f>
        <v>7.6</v>
      </c>
      <c r="P11" s="30">
        <f>E11*0.7%</f>
        <v>0.13999999999999999</v>
      </c>
      <c r="Q11" s="30">
        <v>60</v>
      </c>
      <c r="R11" s="30">
        <f>C11/1000*60</f>
        <v>1.5</v>
      </c>
    </row>
    <row r="12" spans="1:18" s="10" customFormat="1" ht="22.2" customHeight="1">
      <c r="A12" s="28"/>
      <c r="B12" s="29" t="s">
        <v>32</v>
      </c>
      <c r="C12" s="30">
        <v>26</v>
      </c>
      <c r="D12" s="30">
        <f>C12*0.16</f>
        <v>4.16</v>
      </c>
      <c r="E12" s="30">
        <f>C12-D12</f>
        <v>21.84</v>
      </c>
      <c r="F12" s="30">
        <f>E12*1.4%</f>
        <v>0.30575999999999998</v>
      </c>
      <c r="G12" s="31">
        <v>0</v>
      </c>
      <c r="H12" s="30">
        <f>E12*9.1%</f>
        <v>1.9874399999999999</v>
      </c>
      <c r="I12" s="30">
        <f>E12*41%</f>
        <v>8.9543999999999997</v>
      </c>
      <c r="J12" s="30">
        <f>E12*0.05%</f>
        <v>1.0920000000000001E-2</v>
      </c>
      <c r="K12" s="30">
        <f>E12*10%</f>
        <v>2.1840000000000002</v>
      </c>
      <c r="L12" s="30">
        <v>0</v>
      </c>
      <c r="M12" s="30">
        <f>E12*31%</f>
        <v>6.7703999999999995</v>
      </c>
      <c r="N12" s="30">
        <f>E12*58%</f>
        <v>12.667199999999999</v>
      </c>
      <c r="O12" s="30">
        <f>E12*14%</f>
        <v>3.0576000000000003</v>
      </c>
      <c r="P12" s="30">
        <f>E12*0.8%</f>
        <v>0.17472000000000001</v>
      </c>
      <c r="Q12" s="30">
        <v>40</v>
      </c>
      <c r="R12" s="30">
        <f>C12/1000*40</f>
        <v>1.04</v>
      </c>
    </row>
    <row r="13" spans="1:18" s="11" customFormat="1" ht="22.2" customHeight="1">
      <c r="A13" s="32"/>
      <c r="B13" s="33" t="s">
        <v>33</v>
      </c>
      <c r="C13" s="33">
        <v>10</v>
      </c>
      <c r="D13" s="33">
        <v>0</v>
      </c>
      <c r="E13" s="33">
        <f>C13-D13</f>
        <v>10</v>
      </c>
      <c r="F13" s="33">
        <f>E13*7.9%</f>
        <v>0.79</v>
      </c>
      <c r="G13" s="33">
        <f>E13*1%</f>
        <v>0.1</v>
      </c>
      <c r="H13" s="33">
        <f>E13*48.1%</f>
        <v>4.8100000000000005</v>
      </c>
      <c r="I13" s="33">
        <f>E13*239%</f>
        <v>23.900000000000002</v>
      </c>
      <c r="J13" s="33">
        <f>E13*0.16%</f>
        <v>1.6E-2</v>
      </c>
      <c r="K13" s="33">
        <v>0</v>
      </c>
      <c r="L13" s="33">
        <v>0</v>
      </c>
      <c r="M13" s="33">
        <f>E13*23%</f>
        <v>2.3000000000000003</v>
      </c>
      <c r="N13" s="33">
        <f>E13*87%</f>
        <v>8.6999999999999993</v>
      </c>
      <c r="O13" s="33">
        <f>E13*33%</f>
        <v>3.3000000000000003</v>
      </c>
      <c r="P13" s="33">
        <f>E13*2%</f>
        <v>0.2</v>
      </c>
      <c r="Q13" s="33">
        <v>30</v>
      </c>
      <c r="R13" s="33">
        <f>C13/1000*30</f>
        <v>0.3</v>
      </c>
    </row>
    <row r="14" spans="1:18" s="11" customFormat="1">
      <c r="A14" s="34"/>
      <c r="B14" s="35" t="s">
        <v>34</v>
      </c>
      <c r="C14" s="35">
        <v>5</v>
      </c>
      <c r="D14" s="35">
        <v>0</v>
      </c>
      <c r="E14" s="35">
        <f>SUM(C14:D14)</f>
        <v>5</v>
      </c>
      <c r="F14" s="35">
        <f>E14*1%</f>
        <v>0.05</v>
      </c>
      <c r="G14" s="35">
        <v>0</v>
      </c>
      <c r="H14" s="35">
        <f>E14*3.5%</f>
        <v>0.17500000000000002</v>
      </c>
      <c r="I14" s="35">
        <f>E14*19%</f>
        <v>0.95</v>
      </c>
      <c r="J14" s="35">
        <f>E14*0.03%</f>
        <v>1.4999999999999998E-3</v>
      </c>
      <c r="K14" s="35">
        <f>E14*10%</f>
        <v>0.5</v>
      </c>
      <c r="L14" s="35">
        <v>0</v>
      </c>
      <c r="M14" s="35">
        <f>C14*7%</f>
        <v>0.35000000000000003</v>
      </c>
      <c r="N14" s="35">
        <f>E14*32%</f>
        <v>1.6</v>
      </c>
      <c r="O14" s="35">
        <f>E14*12%</f>
        <v>0.6</v>
      </c>
      <c r="P14" s="35">
        <f>E14*0.7%</f>
        <v>3.4999999999999996E-2</v>
      </c>
      <c r="Q14" s="35">
        <v>150</v>
      </c>
      <c r="R14" s="35">
        <f>C14/1000*150</f>
        <v>0.75</v>
      </c>
    </row>
    <row r="15" spans="1:18" s="11" customFormat="1" ht="18">
      <c r="A15" s="28"/>
      <c r="B15" s="29" t="s">
        <v>35</v>
      </c>
      <c r="C15" s="30">
        <v>10</v>
      </c>
      <c r="D15" s="30">
        <v>0</v>
      </c>
      <c r="E15" s="30">
        <f>SUM(C15:D15)</f>
        <v>10</v>
      </c>
      <c r="F15" s="30">
        <v>0</v>
      </c>
      <c r="G15" s="36">
        <f>E15*0.999</f>
        <v>9.99</v>
      </c>
      <c r="H15" s="30">
        <v>0</v>
      </c>
      <c r="I15" s="30">
        <f>E15*8.99%</f>
        <v>0.89900000000000002</v>
      </c>
      <c r="J15" s="30">
        <f>E15*0.06%</f>
        <v>5.9999999999999993E-3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150</v>
      </c>
      <c r="R15" s="30">
        <f>C15/1000*150</f>
        <v>1.5</v>
      </c>
    </row>
    <row r="16" spans="1:18" s="11" customFormat="1" ht="18">
      <c r="A16" s="37"/>
      <c r="B16" s="38" t="s">
        <v>19</v>
      </c>
      <c r="C16" s="27">
        <f t="shared" ref="C16:P16" si="1">SUM(C10:C15)</f>
        <v>136</v>
      </c>
      <c r="D16" s="27">
        <f t="shared" si="1"/>
        <v>25</v>
      </c>
      <c r="E16" s="27">
        <f t="shared" si="1"/>
        <v>111</v>
      </c>
      <c r="F16" s="27">
        <f t="shared" si="1"/>
        <v>9.6195200000000014</v>
      </c>
      <c r="G16" s="27">
        <f t="shared" si="1"/>
        <v>17.1556</v>
      </c>
      <c r="H16" s="27">
        <f t="shared" si="1"/>
        <v>8.4124400000000001</v>
      </c>
      <c r="I16" s="27">
        <f t="shared" si="1"/>
        <v>136.97219999999999</v>
      </c>
      <c r="J16" s="27">
        <f t="shared" si="1"/>
        <v>7.2916000000000009E-2</v>
      </c>
      <c r="K16" s="27">
        <f t="shared" si="1"/>
        <v>3.6840000000000002</v>
      </c>
      <c r="L16" s="27">
        <f t="shared" si="1"/>
        <v>0</v>
      </c>
      <c r="M16" s="27">
        <f t="shared" si="1"/>
        <v>23.594799999999999</v>
      </c>
      <c r="N16" s="27">
        <f t="shared" si="1"/>
        <v>116.98799999999999</v>
      </c>
      <c r="O16" s="27">
        <f t="shared" si="1"/>
        <v>24.2728</v>
      </c>
      <c r="P16" s="27">
        <f t="shared" si="1"/>
        <v>1.7420399999999998</v>
      </c>
      <c r="Q16" s="27"/>
      <c r="R16" s="27">
        <f>SUM(R10:R15)</f>
        <v>33.590000000000003</v>
      </c>
    </row>
    <row r="17" spans="1:18" s="11" customFormat="1" ht="21">
      <c r="A17" s="51" t="s">
        <v>36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3"/>
    </row>
    <row r="18" spans="1:18" s="11" customFormat="1" ht="18">
      <c r="A18" s="39"/>
      <c r="B18" s="40" t="s">
        <v>19</v>
      </c>
      <c r="C18" s="41">
        <v>30</v>
      </c>
      <c r="D18" s="41">
        <v>0</v>
      </c>
      <c r="E18" s="41">
        <v>30</v>
      </c>
      <c r="F18" s="41">
        <f>E18*7.9%</f>
        <v>2.37</v>
      </c>
      <c r="G18" s="41">
        <f>E18*1%</f>
        <v>0.3</v>
      </c>
      <c r="H18" s="41">
        <f>E18*48.1%</f>
        <v>14.430000000000001</v>
      </c>
      <c r="I18" s="41">
        <f>E18*239%</f>
        <v>71.7</v>
      </c>
      <c r="J18" s="41">
        <f>E18*0.16%</f>
        <v>4.8000000000000001E-2</v>
      </c>
      <c r="K18" s="41">
        <v>0</v>
      </c>
      <c r="L18" s="41">
        <v>0</v>
      </c>
      <c r="M18" s="41">
        <f>E18*23%</f>
        <v>6.9</v>
      </c>
      <c r="N18" s="41">
        <f>E18*87%</f>
        <v>26.1</v>
      </c>
      <c r="O18" s="41">
        <f>E18*33%</f>
        <v>9.9</v>
      </c>
      <c r="P18" s="41">
        <f>E18*2%</f>
        <v>0.6</v>
      </c>
      <c r="Q18" s="41">
        <v>50</v>
      </c>
      <c r="R18" s="41">
        <f>C18/1000*50</f>
        <v>1.5</v>
      </c>
    </row>
    <row r="19" spans="1:18" s="12" customFormat="1" ht="21">
      <c r="A19" s="16"/>
      <c r="B19" s="45" t="s">
        <v>22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</row>
    <row r="20" spans="1:18" s="13" customFormat="1" ht="18">
      <c r="A20" s="5"/>
      <c r="B20" s="2" t="s">
        <v>23</v>
      </c>
      <c r="C20" s="2">
        <v>1</v>
      </c>
      <c r="D20" s="2">
        <v>0</v>
      </c>
      <c r="E20" s="2">
        <f>C20-D20</f>
        <v>1</v>
      </c>
      <c r="F20" s="2">
        <f>E20*21.74%</f>
        <v>0.21739999999999998</v>
      </c>
      <c r="G20" s="2">
        <f>E20*7.61%</f>
        <v>7.6100000000000001E-2</v>
      </c>
      <c r="H20" s="2">
        <f>E20*2.86%</f>
        <v>2.86E-2</v>
      </c>
      <c r="I20" s="2">
        <f>E20*9.18%</f>
        <v>9.1799999999999993E-2</v>
      </c>
      <c r="J20" s="2">
        <f>E20*4.7%</f>
        <v>4.7E-2</v>
      </c>
      <c r="K20" s="2">
        <f>E20*11%</f>
        <v>0.11</v>
      </c>
      <c r="L20" s="2">
        <f>E20*5.6%</f>
        <v>5.5999999999999994E-2</v>
      </c>
      <c r="M20" s="2">
        <f>E20*50%</f>
        <v>0.5</v>
      </c>
      <c r="N20" s="2">
        <f>E20*10%</f>
        <v>0.1</v>
      </c>
      <c r="O20" s="2">
        <f>E20*110%</f>
        <v>1.1000000000000001</v>
      </c>
      <c r="P20" s="2">
        <f>E20*456%</f>
        <v>4.5599999999999996</v>
      </c>
      <c r="Q20" s="2">
        <v>950</v>
      </c>
      <c r="R20" s="2">
        <f>C20/1000*950</f>
        <v>0.95000000000000007</v>
      </c>
    </row>
    <row r="21" spans="1:18" s="13" customFormat="1" ht="18">
      <c r="A21" s="16"/>
      <c r="B21" s="2" t="s">
        <v>24</v>
      </c>
      <c r="C21" s="2">
        <v>15</v>
      </c>
      <c r="D21" s="2">
        <v>0</v>
      </c>
      <c r="E21" s="2">
        <v>15</v>
      </c>
      <c r="F21" s="2">
        <v>0</v>
      </c>
      <c r="G21" s="2">
        <v>0</v>
      </c>
      <c r="H21" s="2">
        <f>E21*99.8%</f>
        <v>14.97</v>
      </c>
      <c r="I21" s="2">
        <f>E21*379%</f>
        <v>56.85</v>
      </c>
      <c r="J21" s="2">
        <v>0</v>
      </c>
      <c r="K21" s="2">
        <v>0</v>
      </c>
      <c r="L21" s="2">
        <v>0</v>
      </c>
      <c r="M21" s="2">
        <f>E21*2%</f>
        <v>0.3</v>
      </c>
      <c r="N21" s="2">
        <v>0</v>
      </c>
      <c r="O21" s="2">
        <v>0</v>
      </c>
      <c r="P21" s="2">
        <f>E21*0.3%</f>
        <v>4.4999999999999998E-2</v>
      </c>
      <c r="Q21" s="2">
        <v>60</v>
      </c>
      <c r="R21" s="2">
        <f>C21/1000*60</f>
        <v>0.89999999999999991</v>
      </c>
    </row>
    <row r="22" spans="1:18" s="6" customFormat="1" ht="18">
      <c r="A22" s="25"/>
      <c r="B22" s="38" t="s">
        <v>19</v>
      </c>
      <c r="C22" s="27">
        <f>SUM(C20:C21)</f>
        <v>16</v>
      </c>
      <c r="D22" s="27">
        <f>SUM(D21:D21)</f>
        <v>0</v>
      </c>
      <c r="E22" s="27">
        <v>150</v>
      </c>
      <c r="F22" s="27">
        <f t="shared" ref="F22:P22" si="2">SUM(F21:F21)</f>
        <v>0</v>
      </c>
      <c r="G22" s="27">
        <f t="shared" si="2"/>
        <v>0</v>
      </c>
      <c r="H22" s="27">
        <f t="shared" si="2"/>
        <v>14.97</v>
      </c>
      <c r="I22" s="27">
        <f t="shared" si="2"/>
        <v>56.85</v>
      </c>
      <c r="J22" s="27">
        <f t="shared" si="2"/>
        <v>0</v>
      </c>
      <c r="K22" s="27">
        <f t="shared" si="2"/>
        <v>0</v>
      </c>
      <c r="L22" s="27">
        <f t="shared" si="2"/>
        <v>0</v>
      </c>
      <c r="M22" s="27">
        <f t="shared" si="2"/>
        <v>0.3</v>
      </c>
      <c r="N22" s="27">
        <f t="shared" si="2"/>
        <v>0</v>
      </c>
      <c r="O22" s="27">
        <f t="shared" si="2"/>
        <v>0</v>
      </c>
      <c r="P22" s="27">
        <f t="shared" si="2"/>
        <v>4.4999999999999998E-2</v>
      </c>
      <c r="Q22" s="27"/>
      <c r="R22" s="27">
        <f>SUM(R20:R21)</f>
        <v>1.85</v>
      </c>
    </row>
    <row r="23" spans="1:18" s="13" customFormat="1" ht="21">
      <c r="A23" s="5"/>
      <c r="B23" s="62" t="s">
        <v>39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s="13" customFormat="1" ht="18">
      <c r="A24" s="5"/>
      <c r="B24" s="4" t="s">
        <v>19</v>
      </c>
      <c r="C24" s="3">
        <v>130</v>
      </c>
      <c r="D24" s="3">
        <v>0</v>
      </c>
      <c r="E24" s="3">
        <f>C24-D24</f>
        <v>130</v>
      </c>
      <c r="F24" s="3">
        <f>E24*1.5%</f>
        <v>1.95</v>
      </c>
      <c r="G24" s="3">
        <f>E24*0.5%</f>
        <v>0.65</v>
      </c>
      <c r="H24" s="3">
        <f>E24*21%</f>
        <v>27.3</v>
      </c>
      <c r="I24" s="3">
        <f>E24*96%</f>
        <v>124.8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15.860000000000001</v>
      </c>
    </row>
    <row r="25" spans="1:18" ht="21">
      <c r="A25" s="65" t="s">
        <v>37</v>
      </c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7"/>
    </row>
    <row r="26" spans="1:18">
      <c r="A26" s="27"/>
      <c r="B26" s="41" t="s">
        <v>19</v>
      </c>
      <c r="C26" s="41">
        <v>3</v>
      </c>
      <c r="D26" s="41">
        <v>0</v>
      </c>
      <c r="E26" s="41">
        <f>C26-D26</f>
        <v>3</v>
      </c>
      <c r="F26" s="41">
        <v>0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0</v>
      </c>
      <c r="Q26" s="41">
        <v>20</v>
      </c>
      <c r="R26" s="41">
        <f>C26/1000*20</f>
        <v>0.06</v>
      </c>
    </row>
    <row r="27" spans="1:18" ht="22.8">
      <c r="A27" s="42"/>
      <c r="B27" s="43" t="s">
        <v>19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4">
        <f>R26+R24+R22+R18+R16+R8</f>
        <v>61.010000000000005</v>
      </c>
    </row>
  </sheetData>
  <mergeCells count="26">
    <mergeCell ref="B23:R23"/>
    <mergeCell ref="A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M2:P2"/>
    <mergeCell ref="F2:F4"/>
    <mergeCell ref="L3:L4"/>
    <mergeCell ref="M3:M4"/>
    <mergeCell ref="N3:N4"/>
    <mergeCell ref="B19:R19"/>
    <mergeCell ref="B9:R9"/>
    <mergeCell ref="A17:R17"/>
    <mergeCell ref="J3:J4"/>
    <mergeCell ref="K3:K4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2022-02-08T13:26:26Z</dcterms:modified>
</cp:coreProperties>
</file>