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30" i="1"/>
  <c r="E30"/>
  <c r="R28"/>
  <c r="O28"/>
  <c r="K28"/>
  <c r="F28"/>
  <c r="E28"/>
  <c r="M28" s="1"/>
  <c r="O26"/>
  <c r="N26"/>
  <c r="L26"/>
  <c r="K26"/>
  <c r="J26"/>
  <c r="H26"/>
  <c r="G26"/>
  <c r="F26"/>
  <c r="D26"/>
  <c r="C26"/>
  <c r="R25"/>
  <c r="P25"/>
  <c r="P26" s="1"/>
  <c r="M25"/>
  <c r="M26" s="1"/>
  <c r="I25"/>
  <c r="I26" s="1"/>
  <c r="H25"/>
  <c r="R24"/>
  <c r="N24"/>
  <c r="F24"/>
  <c r="E24"/>
  <c r="P24" s="1"/>
  <c r="R22"/>
  <c r="P22"/>
  <c r="O22"/>
  <c r="N22"/>
  <c r="M22"/>
  <c r="J22"/>
  <c r="I22"/>
  <c r="H22"/>
  <c r="G22"/>
  <c r="F22"/>
  <c r="L20"/>
  <c r="C20"/>
  <c r="D19"/>
  <c r="E19" s="1"/>
  <c r="E18"/>
  <c r="G18" s="1"/>
  <c r="D17"/>
  <c r="D20" s="1"/>
  <c r="F16"/>
  <c r="E16"/>
  <c r="P16" s="1"/>
  <c r="D16"/>
  <c r="D15"/>
  <c r="E15" s="1"/>
  <c r="R14"/>
  <c r="M14"/>
  <c r="K14"/>
  <c r="H14"/>
  <c r="E14"/>
  <c r="N14" s="1"/>
  <c r="R13"/>
  <c r="E13"/>
  <c r="M13" s="1"/>
  <c r="D13"/>
  <c r="E10"/>
  <c r="P10" s="1"/>
  <c r="D9"/>
  <c r="E9" s="1"/>
  <c r="E11" s="1"/>
  <c r="P7"/>
  <c r="E6"/>
  <c r="P13" l="1"/>
  <c r="R20"/>
  <c r="K13"/>
  <c r="F14"/>
  <c r="P14"/>
  <c r="O16"/>
  <c r="J24"/>
  <c r="R26"/>
  <c r="J28"/>
  <c r="K24"/>
  <c r="F13"/>
  <c r="J16"/>
  <c r="E17"/>
  <c r="O17" s="1"/>
  <c r="O20" s="1"/>
  <c r="G24"/>
  <c r="O24"/>
  <c r="G28"/>
  <c r="P28"/>
  <c r="P6"/>
  <c r="I6"/>
  <c r="M15"/>
  <c r="H15"/>
  <c r="F15"/>
  <c r="K15"/>
  <c r="N15"/>
  <c r="I15"/>
  <c r="O15"/>
  <c r="J15"/>
  <c r="P15"/>
  <c r="G15"/>
  <c r="M19"/>
  <c r="H19"/>
  <c r="O19"/>
  <c r="F19"/>
  <c r="P19"/>
  <c r="G19"/>
  <c r="N19"/>
  <c r="I19"/>
  <c r="J19"/>
  <c r="K19"/>
  <c r="I10"/>
  <c r="I7"/>
  <c r="J13"/>
  <c r="I16"/>
  <c r="M17"/>
  <c r="J18"/>
  <c r="G9"/>
  <c r="P9"/>
  <c r="P11" s="1"/>
  <c r="I13"/>
  <c r="N13"/>
  <c r="J14"/>
  <c r="O14"/>
  <c r="H16"/>
  <c r="M16"/>
  <c r="K17"/>
  <c r="K20" s="1"/>
  <c r="P17"/>
  <c r="I18"/>
  <c r="I24"/>
  <c r="M24"/>
  <c r="I28"/>
  <c r="N28"/>
  <c r="I9"/>
  <c r="I11" s="1"/>
  <c r="O13"/>
  <c r="N16"/>
  <c r="H17"/>
  <c r="J9"/>
  <c r="H13"/>
  <c r="I14"/>
  <c r="G16"/>
  <c r="K16"/>
  <c r="F17"/>
  <c r="H24"/>
  <c r="L24"/>
  <c r="H28"/>
  <c r="P20" l="1"/>
  <c r="M20"/>
  <c r="R32"/>
  <c r="J17"/>
  <c r="J20" s="1"/>
  <c r="I17"/>
  <c r="I20" s="1"/>
  <c r="G17"/>
  <c r="G20" s="1"/>
  <c r="M11"/>
  <c r="N17"/>
  <c r="N20" s="1"/>
  <c r="G11"/>
  <c r="F20"/>
  <c r="H2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<sst xmlns="http://schemas.openxmlformats.org/spreadsheetml/2006/main" count="50" uniqueCount="41">
  <si>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</si>
  <si>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</si>
  <si>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</si>
  <si>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</si>
  <si>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</si>
  <si>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</si>
  <si>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</si>
  <si>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</si>
  <si>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</si>
  <si>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</si>
  <si>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</si>
  <si>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</si>
  <si>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</si>
  <si>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</si>
  <si>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</si>
  <si>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</si>
  <si>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</si>
  <si>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</si>
  <si>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</si>
  <si>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</si>
  <si>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</si>
  <si>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</si>
  <si>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</si>
  <si>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</si>
  <si>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растит. масло</t>
  </si>
  <si>
    <t>морковь</t>
  </si>
  <si>
    <t>лук</t>
  </si>
  <si>
    <t>свекла</t>
  </si>
  <si>
    <t>4.чай</t>
  </si>
  <si>
    <t>чай</t>
  </si>
  <si>
    <t>всего грамм</t>
  </si>
  <si>
    <t>2.борщ с капустой на мясном бульоне</t>
  </si>
  <si>
    <t>томат</t>
  </si>
  <si>
    <t>капуста</t>
  </si>
  <si>
    <t>5.яблоки</t>
  </si>
  <si>
    <t>6.соль</t>
  </si>
  <si>
    <t>1.салат овощной</t>
  </si>
  <si>
    <t xml:space="preserve">масло растит </t>
  </si>
  <si>
    <t xml:space="preserve">зелёный горошек </t>
  </si>
  <si>
    <t>мясо</t>
  </si>
  <si>
    <t>05.02.2022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</si>
</sst>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23" fillId="0" borderId="1" xfId="0" applyNumberFormat="1" applyFont="1" applyBorder="1"/>
    <xf numFmtId="2" fontId="24" fillId="0" borderId="1" xfId="0" applyNumberFormat="1" applyFont="1" applyBorder="1"/>
    <xf numFmtId="2" fontId="6" fillId="0" borderId="1" xfId="0" applyNumberFormat="1" applyFont="1" applyBorder="1" applyAlignment="1">
      <alignment horizontal="right"/>
    </xf>
    <xf numFmtId="2" fontId="0" fillId="0" borderId="7" xfId="0" applyNumberFormat="1" applyFill="1" applyBorder="1"/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16" fillId="0" borderId="8" xfId="1" applyNumberFormat="1" applyFont="1" applyFill="1" applyBorder="1" applyAlignment="1" applyProtection="1">
      <alignment horizontal="center" vertical="top" wrapText="1"/>
    </xf>
    <xf numFmtId="0" fontId="16" fillId="0" borderId="9" xfId="1" applyNumberFormat="1" applyFont="1" applyFill="1" applyBorder="1" applyAlignment="1" applyProtection="1">
      <alignment horizontal="center" vertical="top" wrapText="1"/>
    </xf>
    <xf numFmtId="0" fontId="16" fillId="0" borderId="10" xfId="1" applyNumberFormat="1" applyFont="1" applyFill="1" applyBorder="1" applyAlignment="1" applyProtection="1">
      <alignment horizontal="center" vertical="top" wrapText="1"/>
    </xf>
    <xf numFmtId="0" fontId="25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22" fillId="2" borderId="2" xfId="1" applyNumberFormat="1" applyFont="1" applyFill="1" applyBorder="1" applyAlignment="1" applyProtection="1">
      <alignment horizontal="center" vertical="center"/>
    </xf>
    <xf numFmtId="0" fontId="22" fillId="2" borderId="6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2" borderId="2" xfId="1" applyNumberFormat="1" applyFont="1" applyFill="1" applyBorder="1" applyAlignment="1" applyProtection="1">
      <alignment horizontal="center" vertical="top" wrapText="1"/>
    </xf>
    <xf numFmtId="0" fontId="20" fillId="2" borderId="7" xfId="1" applyNumberFormat="1" applyFont="1" applyFill="1" applyBorder="1" applyAlignment="1" applyProtection="1">
      <alignment horizontal="center" vertical="top" wrapText="1"/>
    </xf>
    <xf numFmtId="0" fontId="20" fillId="2" borderId="6" xfId="1" applyNumberFormat="1" applyFont="1" applyFill="1" applyBorder="1" applyAlignment="1" applyProtection="1">
      <alignment horizontal="center" vertical="top" wrapText="1"/>
    </xf>
    <xf numFmtId="0" fontId="8" fillId="0" borderId="3" xfId="1" applyNumberFormat="1" applyFont="1" applyFill="1" applyBorder="1" applyAlignment="1" applyProtection="1">
      <alignment horizontal="center" vertical="top" wrapText="1"/>
    </xf>
    <xf numFmtId="0" fontId="8" fillId="0" borderId="4" xfId="1" applyNumberFormat="1" applyFont="1" applyFill="1" applyBorder="1" applyAlignment="1" applyProtection="1">
      <alignment horizontal="center" vertical="top" wrapText="1"/>
    </xf>
    <xf numFmtId="0" fontId="8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1" fillId="2" borderId="2" xfId="1" applyNumberFormat="1" applyFont="1" applyFill="1" applyBorder="1" applyAlignment="1" applyProtection="1">
      <alignment horizontal="center" vertical="top"/>
    </xf>
    <xf numFmtId="0" fontId="21" fillId="2" borderId="7" xfId="1" applyNumberFormat="1" applyFont="1" applyFill="1" applyBorder="1" applyAlignment="1" applyProtection="1">
      <alignment horizontal="center" vertical="top"/>
    </xf>
    <xf numFmtId="0" fontId="21" fillId="2" borderId="6" xfId="1" applyNumberFormat="1" applyFont="1" applyFill="1" applyBorder="1" applyAlignment="1" applyProtection="1">
      <alignment horizontal="center" vertical="top"/>
    </xf>
    <xf numFmtId="0" fontId="19" fillId="0" borderId="1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40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25"/>
      <c r="B2" s="69" t="s">
        <v>5</v>
      </c>
      <c r="C2" s="57" t="s">
        <v>30</v>
      </c>
      <c r="D2" s="66" t="s">
        <v>6</v>
      </c>
      <c r="E2" s="66" t="s">
        <v>7</v>
      </c>
      <c r="F2" s="32" t="s">
        <v>2</v>
      </c>
      <c r="G2" s="32" t="s">
        <v>3</v>
      </c>
      <c r="H2" s="32" t="s">
        <v>4</v>
      </c>
      <c r="I2" s="32" t="s">
        <v>8</v>
      </c>
      <c r="J2" s="47" t="s">
        <v>9</v>
      </c>
      <c r="K2" s="47"/>
      <c r="L2" s="47"/>
      <c r="M2" s="47" t="s">
        <v>10</v>
      </c>
      <c r="N2" s="47"/>
      <c r="O2" s="47"/>
      <c r="P2" s="47"/>
      <c r="Q2" s="42" t="s">
        <v>11</v>
      </c>
      <c r="R2" s="63" t="s">
        <v>22</v>
      </c>
    </row>
    <row r="3" spans="1:18" ht="24" customHeight="1">
      <c r="A3" s="25"/>
      <c r="B3" s="69"/>
      <c r="C3" s="58"/>
      <c r="D3" s="67"/>
      <c r="E3" s="67"/>
      <c r="F3" s="33"/>
      <c r="G3" s="33"/>
      <c r="H3" s="33"/>
      <c r="I3" s="33"/>
      <c r="J3" s="32" t="s">
        <v>12</v>
      </c>
      <c r="K3" s="45" t="s">
        <v>13</v>
      </c>
      <c r="L3" s="32" t="s">
        <v>14</v>
      </c>
      <c r="M3" s="32" t="s">
        <v>15</v>
      </c>
      <c r="N3" s="32" t="s">
        <v>16</v>
      </c>
      <c r="O3" s="32" t="s">
        <v>17</v>
      </c>
      <c r="P3" s="32" t="s">
        <v>18</v>
      </c>
      <c r="Q3" s="43"/>
      <c r="R3" s="64"/>
    </row>
    <row r="4" spans="1:18" ht="24" customHeight="1">
      <c r="A4" s="25"/>
      <c r="B4" s="26"/>
      <c r="C4" s="59"/>
      <c r="D4" s="68"/>
      <c r="E4" s="68"/>
      <c r="F4" s="34"/>
      <c r="G4" s="34"/>
      <c r="H4" s="34"/>
      <c r="I4" s="34"/>
      <c r="J4" s="34"/>
      <c r="K4" s="46"/>
      <c r="L4" s="34"/>
      <c r="M4" s="34"/>
      <c r="N4" s="34"/>
      <c r="O4" s="34"/>
      <c r="P4" s="34"/>
      <c r="Q4" s="44"/>
      <c r="R4" s="65"/>
    </row>
    <row r="5" spans="1:18" s="6" customFormat="1" ht="19.2" customHeight="1">
      <c r="A5" s="25"/>
      <c r="B5" s="60" t="s">
        <v>36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</row>
    <row r="6" spans="1:18" s="7" customFormat="1" ht="22.5" customHeight="1">
      <c r="A6" s="15"/>
      <c r="B6" s="14" t="s">
        <v>33</v>
      </c>
      <c r="C6" s="2">
        <v>25</v>
      </c>
      <c r="D6" s="2">
        <v>5</v>
      </c>
      <c r="E6" s="2">
        <f>SUM(C6-D6)</f>
        <v>20</v>
      </c>
      <c r="F6" s="2">
        <v>0.36</v>
      </c>
      <c r="G6" s="2">
        <v>0.02</v>
      </c>
      <c r="H6" s="2">
        <v>0.94</v>
      </c>
      <c r="I6" s="2">
        <f>E6*218%</f>
        <v>43.6</v>
      </c>
      <c r="J6" s="2">
        <v>5.4</v>
      </c>
      <c r="K6" s="2">
        <v>0.01</v>
      </c>
      <c r="L6" s="2">
        <v>9</v>
      </c>
      <c r="M6" s="2">
        <v>0</v>
      </c>
      <c r="N6" s="2">
        <v>9.6</v>
      </c>
      <c r="O6" s="2">
        <v>6.2</v>
      </c>
      <c r="P6" s="2">
        <f>E6*2.7%</f>
        <v>0.54</v>
      </c>
      <c r="Q6" s="2">
        <v>25</v>
      </c>
      <c r="R6" s="2">
        <v>0.625</v>
      </c>
    </row>
    <row r="7" spans="1:18" s="8" customFormat="1" ht="19.5" customHeight="1">
      <c r="A7" s="15"/>
      <c r="B7" s="14" t="s">
        <v>25</v>
      </c>
      <c r="C7" s="27">
        <v>10</v>
      </c>
      <c r="D7" s="2">
        <v>0</v>
      </c>
      <c r="E7" s="2">
        <v>8</v>
      </c>
      <c r="F7" s="2">
        <v>0.1</v>
      </c>
      <c r="G7">
        <v>8.0000000000000002E-3</v>
      </c>
      <c r="H7" s="2">
        <v>0.57999999999999996</v>
      </c>
      <c r="I7" s="2">
        <f>E7*41%</f>
        <v>3.28</v>
      </c>
      <c r="J7" s="2">
        <v>2.4</v>
      </c>
      <c r="K7" s="2">
        <v>0</v>
      </c>
      <c r="L7" s="2">
        <v>0.4</v>
      </c>
      <c r="M7" s="2">
        <v>0</v>
      </c>
      <c r="N7" s="2">
        <v>4.08</v>
      </c>
      <c r="O7" s="2">
        <v>4.4000000000000004</v>
      </c>
      <c r="P7" s="2">
        <f>E7*0.8%</f>
        <v>6.4000000000000001E-2</v>
      </c>
      <c r="Q7" s="2">
        <v>55</v>
      </c>
      <c r="R7" s="2">
        <v>0.55000000000000004</v>
      </c>
    </row>
    <row r="8" spans="1:18" s="8" customFormat="1" ht="19.5" customHeight="1">
      <c r="A8" s="15"/>
      <c r="B8" s="14" t="s">
        <v>38</v>
      </c>
      <c r="C8" s="27">
        <v>6</v>
      </c>
      <c r="D8" s="2">
        <v>0</v>
      </c>
      <c r="E8" s="2">
        <v>6</v>
      </c>
      <c r="F8" s="2"/>
      <c r="G8" s="31">
        <v>5.9939999999999998</v>
      </c>
      <c r="H8" s="2">
        <v>0</v>
      </c>
      <c r="I8" s="2"/>
      <c r="J8" s="2">
        <v>53.94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v>58</v>
      </c>
      <c r="R8" s="2">
        <v>0.34799999999999998</v>
      </c>
    </row>
    <row r="9" spans="1:18" s="7" customFormat="1" ht="22.5" customHeight="1">
      <c r="A9" s="5"/>
      <c r="B9" s="14" t="s">
        <v>26</v>
      </c>
      <c r="C9" s="2">
        <v>30</v>
      </c>
      <c r="D9" s="2">
        <f>C9*25%</f>
        <v>7.5</v>
      </c>
      <c r="E9" s="2">
        <f>C9-D9</f>
        <v>22.5</v>
      </c>
      <c r="F9" s="2">
        <v>0</v>
      </c>
      <c r="G9" s="2">
        <f>E9*0.4%</f>
        <v>0.09</v>
      </c>
      <c r="H9" s="2">
        <v>0</v>
      </c>
      <c r="I9" s="2">
        <f>E9*80%</f>
        <v>18</v>
      </c>
      <c r="J9" s="2">
        <f>E9*0.12%</f>
        <v>2.6999999999999996E-2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>E9*0.9%</f>
        <v>0.20250000000000001</v>
      </c>
      <c r="Q9" s="2">
        <v>35</v>
      </c>
      <c r="R9" s="2">
        <v>1.05</v>
      </c>
    </row>
    <row r="10" spans="1:18" s="7" customFormat="1" ht="22.5" customHeight="1">
      <c r="A10" s="15"/>
      <c r="B10" s="14" t="s">
        <v>37</v>
      </c>
      <c r="C10" s="2">
        <v>5</v>
      </c>
      <c r="D10" s="2">
        <v>0</v>
      </c>
      <c r="E10" s="2">
        <f>C10-D10</f>
        <v>5</v>
      </c>
      <c r="F10" s="2">
        <v>0</v>
      </c>
      <c r="G10" s="2">
        <v>2.9969999999999999</v>
      </c>
      <c r="H10" s="2">
        <v>0</v>
      </c>
      <c r="I10" s="2">
        <f>E10*748%</f>
        <v>37.400000000000006</v>
      </c>
      <c r="J10" s="2">
        <v>0.27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E10*0.2%</f>
        <v>0.01</v>
      </c>
      <c r="Q10" s="2">
        <v>145</v>
      </c>
      <c r="R10" s="28">
        <v>0.72499999999999998</v>
      </c>
    </row>
    <row r="11" spans="1:18" s="9" customFormat="1" ht="22.2" customHeight="1">
      <c r="A11" s="5"/>
      <c r="B11" s="23" t="s">
        <v>19</v>
      </c>
      <c r="C11" s="29">
        <v>110</v>
      </c>
      <c r="D11" s="29">
        <v>12.5</v>
      </c>
      <c r="E11" s="29">
        <f t="shared" ref="E11:P11" si="0">SUM(E9:E10)</f>
        <v>27.5</v>
      </c>
      <c r="F11" s="29">
        <v>0.46</v>
      </c>
      <c r="G11" s="29">
        <f t="shared" si="0"/>
        <v>3.0869999999999997</v>
      </c>
      <c r="H11" s="29">
        <v>1.52</v>
      </c>
      <c r="I11" s="29">
        <f t="shared" si="0"/>
        <v>55.400000000000006</v>
      </c>
      <c r="J11" s="29">
        <v>62.04</v>
      </c>
      <c r="K11" s="29">
        <v>0.01</v>
      </c>
      <c r="L11" s="29">
        <v>9.4</v>
      </c>
      <c r="M11" s="29">
        <f t="shared" si="0"/>
        <v>0</v>
      </c>
      <c r="N11" s="29">
        <v>13.68</v>
      </c>
      <c r="O11" s="29">
        <v>10.6</v>
      </c>
      <c r="P11" s="29">
        <f t="shared" si="0"/>
        <v>0.21250000000000002</v>
      </c>
      <c r="Q11" s="29">
        <v>318</v>
      </c>
      <c r="R11" s="29">
        <v>17.559999999999999</v>
      </c>
    </row>
    <row r="12" spans="1:18" s="6" customFormat="1" ht="21">
      <c r="A12" s="5"/>
      <c r="B12" s="35" t="s">
        <v>31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</row>
    <row r="13" spans="1:18" s="10" customFormat="1" ht="22.2" customHeight="1">
      <c r="A13" s="15"/>
      <c r="B13" s="14" t="s">
        <v>26</v>
      </c>
      <c r="C13" s="27">
        <v>20</v>
      </c>
      <c r="D13" s="2">
        <f>C13*0.16</f>
        <v>3.2</v>
      </c>
      <c r="E13" s="2">
        <f>C13-D13</f>
        <v>16.8</v>
      </c>
      <c r="F13" s="2">
        <f>E13*1.4%</f>
        <v>0.23519999999999999</v>
      </c>
      <c r="G13">
        <v>0</v>
      </c>
      <c r="H13" s="2">
        <f>E13*9.1%</f>
        <v>1.5287999999999999</v>
      </c>
      <c r="I13" s="2">
        <f>E13*41%</f>
        <v>6.8879999999999999</v>
      </c>
      <c r="J13" s="2">
        <f>E13*0.05%</f>
        <v>8.4000000000000012E-3</v>
      </c>
      <c r="K13" s="2">
        <f>E13*10%</f>
        <v>1.6800000000000002</v>
      </c>
      <c r="L13" s="2">
        <v>0</v>
      </c>
      <c r="M13" s="2">
        <f>E13*31%</f>
        <v>5.2080000000000002</v>
      </c>
      <c r="N13" s="2">
        <f>E13*58%</f>
        <v>9.7439999999999998</v>
      </c>
      <c r="O13" s="2">
        <f>E13*14%</f>
        <v>2.3520000000000003</v>
      </c>
      <c r="P13" s="2">
        <f>E13*0.8%</f>
        <v>0.13440000000000002</v>
      </c>
      <c r="Q13" s="2">
        <v>35</v>
      </c>
      <c r="R13" s="2">
        <f>C13/1000*40</f>
        <v>0.8</v>
      </c>
    </row>
    <row r="14" spans="1:18" s="11" customFormat="1" ht="22.2" customHeight="1">
      <c r="A14" s="5"/>
      <c r="B14" s="14" t="s">
        <v>32</v>
      </c>
      <c r="C14" s="27">
        <v>5</v>
      </c>
      <c r="D14" s="2">
        <v>0</v>
      </c>
      <c r="E14" s="2">
        <f>SUM(C14:D14)</f>
        <v>5</v>
      </c>
      <c r="F14" s="2">
        <f>E14*1%</f>
        <v>0.05</v>
      </c>
      <c r="G14" s="2">
        <v>0</v>
      </c>
      <c r="H14" s="2">
        <f>E14*3.5%</f>
        <v>0.17500000000000002</v>
      </c>
      <c r="I14" s="2">
        <f>E14*19%</f>
        <v>0.95</v>
      </c>
      <c r="J14" s="2">
        <f>E14*0.03%</f>
        <v>1.4999999999999998E-3</v>
      </c>
      <c r="K14" s="2">
        <f>E14*10%</f>
        <v>0.5</v>
      </c>
      <c r="L14" s="2">
        <v>0</v>
      </c>
      <c r="M14" s="2">
        <f>C14*7%</f>
        <v>0.35000000000000003</v>
      </c>
      <c r="N14" s="2">
        <f>E14*32%</f>
        <v>1.6</v>
      </c>
      <c r="O14" s="2">
        <f>E14*12%</f>
        <v>0.6</v>
      </c>
      <c r="P14" s="2">
        <f>E14*0.7%</f>
        <v>3.4999999999999996E-2</v>
      </c>
      <c r="Q14" s="2">
        <v>110</v>
      </c>
      <c r="R14" s="2">
        <f>C14/1000*150</f>
        <v>0.75</v>
      </c>
    </row>
    <row r="15" spans="1:18" s="11" customFormat="1" ht="18">
      <c r="A15" s="5"/>
      <c r="B15" s="21" t="s">
        <v>25</v>
      </c>
      <c r="C15" s="27">
        <v>28</v>
      </c>
      <c r="D15" s="2">
        <f>C15*0.2</f>
        <v>5.6000000000000005</v>
      </c>
      <c r="E15" s="2">
        <f>C15-D15</f>
        <v>22.4</v>
      </c>
      <c r="F15" s="2">
        <f>E15*1.3%</f>
        <v>0.29120000000000001</v>
      </c>
      <c r="G15" s="22">
        <f>E15*0.001</f>
        <v>2.24E-2</v>
      </c>
      <c r="H15" s="2">
        <f>E15*0.072</f>
        <v>1.6127999999999998</v>
      </c>
      <c r="I15" s="2">
        <f>E15*0.3</f>
        <v>6.72</v>
      </c>
      <c r="J15" s="2">
        <f>E15*0.06%</f>
        <v>1.3439999999999999E-2</v>
      </c>
      <c r="K15" s="2">
        <f>E15*5%</f>
        <v>1.1199999999999999</v>
      </c>
      <c r="L15" s="2">
        <v>0</v>
      </c>
      <c r="M15" s="2">
        <f>E15*51%</f>
        <v>11.423999999999999</v>
      </c>
      <c r="N15" s="2">
        <f>E15*55%</f>
        <v>12.32</v>
      </c>
      <c r="O15" s="2">
        <f>E15*38%</f>
        <v>8.5119999999999987</v>
      </c>
      <c r="P15" s="2">
        <f>E15*0.7%</f>
        <v>0.15679999999999997</v>
      </c>
      <c r="Q15" s="2">
        <v>55</v>
      </c>
      <c r="R15" s="14">
        <v>1.54</v>
      </c>
    </row>
    <row r="16" spans="1:18" s="11" customFormat="1" ht="18">
      <c r="A16" s="5"/>
      <c r="B16" s="21" t="s">
        <v>33</v>
      </c>
      <c r="C16" s="27">
        <v>50</v>
      </c>
      <c r="D16" s="2">
        <f>C16*0.2</f>
        <v>10</v>
      </c>
      <c r="E16" s="2">
        <f>C16-D16</f>
        <v>40</v>
      </c>
      <c r="F16" s="2">
        <f>E16*0.018</f>
        <v>0.72</v>
      </c>
      <c r="G16" s="22">
        <f>E16*0.001</f>
        <v>0.04</v>
      </c>
      <c r="H16" s="2">
        <f>E16*0.047</f>
        <v>1.88</v>
      </c>
      <c r="I16" s="2">
        <f>E16*0.27</f>
        <v>10.8</v>
      </c>
      <c r="J16" s="2">
        <f>E16*0.03%</f>
        <v>1.1999999999999999E-2</v>
      </c>
      <c r="K16" s="2">
        <f>E16*45%</f>
        <v>18</v>
      </c>
      <c r="L16" s="2">
        <v>0</v>
      </c>
      <c r="M16" s="2">
        <f>E16*48%</f>
        <v>19.2</v>
      </c>
      <c r="N16" s="2">
        <f>E16*31%</f>
        <v>12.4</v>
      </c>
      <c r="O16" s="2">
        <f>E16*16%</f>
        <v>6.4</v>
      </c>
      <c r="P16" s="2">
        <f>E16*0.6%</f>
        <v>0.24</v>
      </c>
      <c r="Q16" s="2">
        <v>25</v>
      </c>
      <c r="R16" s="14">
        <v>1.25</v>
      </c>
    </row>
    <row r="17" spans="1:18" s="11" customFormat="1" ht="18">
      <c r="A17" s="15"/>
      <c r="B17" s="21" t="s">
        <v>27</v>
      </c>
      <c r="C17" s="27">
        <v>50</v>
      </c>
      <c r="D17" s="2">
        <f>C17*0.2</f>
        <v>10</v>
      </c>
      <c r="E17" s="2">
        <f>C17-D17</f>
        <v>40</v>
      </c>
      <c r="F17" s="2">
        <f>E17*0.015</f>
        <v>0.6</v>
      </c>
      <c r="G17" s="2">
        <f>E17*0.001</f>
        <v>0.04</v>
      </c>
      <c r="H17" s="2">
        <f>E17*0.091</f>
        <v>3.6399999999999997</v>
      </c>
      <c r="I17" s="2">
        <f>E17*0.42</f>
        <v>16.8</v>
      </c>
      <c r="J17" s="2">
        <f>E17*0.02%</f>
        <v>8.0000000000000002E-3</v>
      </c>
      <c r="K17" s="2">
        <f>E17*10%</f>
        <v>4</v>
      </c>
      <c r="L17" s="2">
        <v>0</v>
      </c>
      <c r="M17" s="2">
        <f>E17*37%</f>
        <v>14.8</v>
      </c>
      <c r="N17" s="2">
        <f>E17*43%</f>
        <v>17.2</v>
      </c>
      <c r="O17" s="2">
        <f>E17*22%</f>
        <v>8.8000000000000007</v>
      </c>
      <c r="P17" s="2">
        <f>E17*1.4%</f>
        <v>0.55999999999999994</v>
      </c>
      <c r="Q17" s="2">
        <v>55</v>
      </c>
      <c r="R17" s="2">
        <v>2.75</v>
      </c>
    </row>
    <row r="18" spans="1:18" s="11" customFormat="1" ht="31.2">
      <c r="A18" s="5"/>
      <c r="B18" s="21" t="s">
        <v>24</v>
      </c>
      <c r="C18" s="27">
        <v>10</v>
      </c>
      <c r="D18" s="2">
        <v>0</v>
      </c>
      <c r="E18" s="2">
        <f>C18-D18</f>
        <v>10</v>
      </c>
      <c r="F18" s="2">
        <v>0</v>
      </c>
      <c r="G18" s="22">
        <f>E18*0.999</f>
        <v>9.99</v>
      </c>
      <c r="H18" s="2">
        <v>0</v>
      </c>
      <c r="I18" s="2">
        <f>E18*8.99</f>
        <v>89.9</v>
      </c>
      <c r="J18" s="2">
        <f>E18*0.06%</f>
        <v>5.9999999999999993E-3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145</v>
      </c>
      <c r="R18" s="2">
        <v>0.73</v>
      </c>
    </row>
    <row r="19" spans="1:18" s="11" customFormat="1" ht="18">
      <c r="A19" s="5"/>
      <c r="B19" s="14" t="s">
        <v>39</v>
      </c>
      <c r="C19" s="27">
        <v>49</v>
      </c>
      <c r="D19" s="2">
        <f>C19*20%</f>
        <v>9.8000000000000007</v>
      </c>
      <c r="E19" s="2">
        <f>C19-D19</f>
        <v>39.200000000000003</v>
      </c>
      <c r="F19" s="2">
        <f>E19*2%</f>
        <v>0.78400000000000003</v>
      </c>
      <c r="G19" s="2">
        <f>E19*0.4%</f>
        <v>0.15680000000000002</v>
      </c>
      <c r="H19" s="2">
        <f>E19*16.3%</f>
        <v>6.3896000000000006</v>
      </c>
      <c r="I19" s="2">
        <f>E19*80%</f>
        <v>31.360000000000003</v>
      </c>
      <c r="J19" s="2">
        <f>E19*0.12%</f>
        <v>4.7039999999999998E-2</v>
      </c>
      <c r="K19" s="2">
        <f>E19*20%</f>
        <v>7.8400000000000007</v>
      </c>
      <c r="L19" s="2">
        <v>0</v>
      </c>
      <c r="M19" s="2">
        <f>E19*10%</f>
        <v>3.9200000000000004</v>
      </c>
      <c r="N19" s="2">
        <f>E19*58%</f>
        <v>22.736000000000001</v>
      </c>
      <c r="O19" s="2">
        <f>E19*23%</f>
        <v>9.0160000000000018</v>
      </c>
      <c r="P19" s="2">
        <f>E19*0.9%</f>
        <v>0.35280000000000006</v>
      </c>
      <c r="Q19" s="2">
        <v>390</v>
      </c>
      <c r="R19" s="2">
        <v>19.11</v>
      </c>
    </row>
    <row r="20" spans="1:18" s="12" customFormat="1" ht="18">
      <c r="A20" s="5"/>
      <c r="B20" s="15" t="s">
        <v>19</v>
      </c>
      <c r="C20" s="30">
        <f>C19+C18+C17+C16+C15+C14</f>
        <v>192</v>
      </c>
      <c r="D20" s="3">
        <f>SUM(D17:D19)</f>
        <v>19.8</v>
      </c>
      <c r="E20" s="3">
        <v>250</v>
      </c>
      <c r="F20" s="3">
        <f t="shared" ref="F20:P20" si="1">SUM(F17:F19)</f>
        <v>1.3839999999999999</v>
      </c>
      <c r="G20" s="3">
        <f t="shared" si="1"/>
        <v>10.1868</v>
      </c>
      <c r="H20" s="3">
        <f t="shared" si="1"/>
        <v>10.0296</v>
      </c>
      <c r="I20" s="3">
        <f t="shared" si="1"/>
        <v>138.06</v>
      </c>
      <c r="J20" s="3">
        <f t="shared" si="1"/>
        <v>6.1039999999999997E-2</v>
      </c>
      <c r="K20" s="3">
        <f t="shared" si="1"/>
        <v>11.84</v>
      </c>
      <c r="L20" s="3">
        <f t="shared" si="1"/>
        <v>0</v>
      </c>
      <c r="M20" s="3">
        <f t="shared" si="1"/>
        <v>18.720000000000002</v>
      </c>
      <c r="N20" s="3">
        <f t="shared" si="1"/>
        <v>39.936</v>
      </c>
      <c r="O20" s="3">
        <f t="shared" si="1"/>
        <v>17.816000000000003</v>
      </c>
      <c r="P20" s="3">
        <f t="shared" si="1"/>
        <v>0.91280000000000006</v>
      </c>
      <c r="Q20" s="3"/>
      <c r="R20" s="3">
        <f>SUM(R13:R19)</f>
        <v>26.93</v>
      </c>
    </row>
    <row r="21" spans="1:18" s="13" customFormat="1" ht="18">
      <c r="A21" s="5"/>
      <c r="B21" s="38" t="s">
        <v>23</v>
      </c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/>
    </row>
    <row r="22" spans="1:18" s="13" customFormat="1" ht="18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6" customFormat="1" ht="21">
      <c r="A23" s="24"/>
      <c r="B23" s="48" t="s">
        <v>28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0"/>
    </row>
    <row r="24" spans="1:18" s="13" customFormat="1" ht="18">
      <c r="A24" s="5"/>
      <c r="B24" s="2" t="s">
        <v>29</v>
      </c>
      <c r="C24" s="2">
        <v>1</v>
      </c>
      <c r="D24" s="2">
        <v>0</v>
      </c>
      <c r="E24" s="2">
        <f>C24-D24</f>
        <v>1</v>
      </c>
      <c r="F24" s="2">
        <f>E24*21.74%</f>
        <v>0.21739999999999998</v>
      </c>
      <c r="G24" s="2">
        <f>E24*7.61%</f>
        <v>7.6100000000000001E-2</v>
      </c>
      <c r="H24" s="2">
        <f>E24*2.86%</f>
        <v>2.86E-2</v>
      </c>
      <c r="I24" s="2">
        <f>E24*9.18%</f>
        <v>9.1799999999999993E-2</v>
      </c>
      <c r="J24" s="2">
        <f>E24*4.7%</f>
        <v>4.7E-2</v>
      </c>
      <c r="K24" s="2">
        <f>E24*11%</f>
        <v>0.11</v>
      </c>
      <c r="L24" s="2">
        <f>E24*5.6%</f>
        <v>5.5999999999999994E-2</v>
      </c>
      <c r="M24" s="2">
        <f>E24*50%</f>
        <v>0.5</v>
      </c>
      <c r="N24" s="2">
        <f>E24*10%</f>
        <v>0.1</v>
      </c>
      <c r="O24" s="2">
        <f>E24*110%</f>
        <v>1.1000000000000001</v>
      </c>
      <c r="P24" s="2">
        <f>E24*456%</f>
        <v>4.5599999999999996</v>
      </c>
      <c r="Q24" s="2">
        <v>950</v>
      </c>
      <c r="R24" s="2">
        <f>C24/1000*950</f>
        <v>0.95000000000000007</v>
      </c>
    </row>
    <row r="25" spans="1:18" s="13" customFormat="1" ht="18">
      <c r="A25" s="25"/>
      <c r="B25" s="2" t="s">
        <v>20</v>
      </c>
      <c r="C25" s="2">
        <v>15</v>
      </c>
      <c r="D25" s="2">
        <v>0</v>
      </c>
      <c r="E25" s="2">
        <v>15</v>
      </c>
      <c r="F25" s="2">
        <v>0</v>
      </c>
      <c r="G25" s="2">
        <v>0</v>
      </c>
      <c r="H25" s="2">
        <f>E25*99.8%</f>
        <v>14.97</v>
      </c>
      <c r="I25" s="2">
        <f>E25*379%</f>
        <v>56.85</v>
      </c>
      <c r="J25" s="2">
        <v>0</v>
      </c>
      <c r="K25" s="2">
        <v>0</v>
      </c>
      <c r="L25" s="2">
        <v>0</v>
      </c>
      <c r="M25" s="2">
        <f>E25*2%</f>
        <v>0.3</v>
      </c>
      <c r="N25" s="2">
        <v>0</v>
      </c>
      <c r="O25" s="2">
        <v>0</v>
      </c>
      <c r="P25" s="2">
        <f>E25*0.3%</f>
        <v>4.4999999999999998E-2</v>
      </c>
      <c r="Q25" s="2">
        <v>60</v>
      </c>
      <c r="R25" s="2">
        <f>C25/1000*60</f>
        <v>0.89999999999999991</v>
      </c>
    </row>
    <row r="26" spans="1:18" s="13" customFormat="1" ht="18">
      <c r="A26" s="25"/>
      <c r="B26" s="4" t="s">
        <v>19</v>
      </c>
      <c r="C26" s="3">
        <f>SUM(C24:C25)</f>
        <v>16</v>
      </c>
      <c r="D26" s="3">
        <f>SUM(D25:D25)</f>
        <v>0</v>
      </c>
      <c r="E26" s="3">
        <v>150</v>
      </c>
      <c r="F26" s="3">
        <f t="shared" ref="F26:P26" si="2">SUM(F25:F25)</f>
        <v>0</v>
      </c>
      <c r="G26" s="3">
        <f t="shared" si="2"/>
        <v>0</v>
      </c>
      <c r="H26" s="3">
        <f t="shared" si="2"/>
        <v>14.97</v>
      </c>
      <c r="I26" s="3">
        <f t="shared" si="2"/>
        <v>56.85</v>
      </c>
      <c r="J26" s="3">
        <f t="shared" si="2"/>
        <v>0</v>
      </c>
      <c r="K26" s="3">
        <f t="shared" si="2"/>
        <v>0</v>
      </c>
      <c r="L26" s="3">
        <f t="shared" si="2"/>
        <v>0</v>
      </c>
      <c r="M26" s="3">
        <f t="shared" si="2"/>
        <v>0.3</v>
      </c>
      <c r="N26" s="3">
        <f t="shared" si="2"/>
        <v>0</v>
      </c>
      <c r="O26" s="3">
        <f t="shared" si="2"/>
        <v>0</v>
      </c>
      <c r="P26" s="3">
        <f t="shared" si="2"/>
        <v>4.4999999999999998E-2</v>
      </c>
      <c r="Q26" s="3"/>
      <c r="R26" s="3">
        <f>SUM(R24:R25)</f>
        <v>1.85</v>
      </c>
    </row>
    <row r="27" spans="1:18" ht="18">
      <c r="A27" s="5"/>
      <c r="B27" s="51" t="s">
        <v>34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</row>
    <row r="28" spans="1:18" ht="18">
      <c r="A28" s="5"/>
      <c r="B28" s="4" t="s">
        <v>19</v>
      </c>
      <c r="C28" s="3">
        <v>150</v>
      </c>
      <c r="D28" s="3">
        <v>0</v>
      </c>
      <c r="E28" s="3">
        <f>C28-D28</f>
        <v>150</v>
      </c>
      <c r="F28" s="3">
        <f>E28*0.4%</f>
        <v>0.6</v>
      </c>
      <c r="G28" s="3">
        <f>E28*0.4%</f>
        <v>0.6</v>
      </c>
      <c r="H28" s="3">
        <f>E28*9.8%</f>
        <v>14.700000000000001</v>
      </c>
      <c r="I28" s="3">
        <f>E28*45%</f>
        <v>67.5</v>
      </c>
      <c r="J28" s="3">
        <f>E28*0.03%</f>
        <v>4.4999999999999998E-2</v>
      </c>
      <c r="K28" s="3">
        <f>E28*13%</f>
        <v>19.5</v>
      </c>
      <c r="L28" s="3">
        <v>0</v>
      </c>
      <c r="M28" s="3">
        <f>E28*16%</f>
        <v>24</v>
      </c>
      <c r="N28" s="3">
        <f>E28*11%</f>
        <v>16.5</v>
      </c>
      <c r="O28" s="3">
        <f>E28*9%</f>
        <v>13.5</v>
      </c>
      <c r="P28" s="3">
        <f>E28*2.2%</f>
        <v>3.3000000000000003</v>
      </c>
      <c r="Q28" s="3">
        <v>78</v>
      </c>
      <c r="R28" s="3">
        <f>C28/1000*78</f>
        <v>11.7</v>
      </c>
    </row>
    <row r="29" spans="1:18" ht="18">
      <c r="A29" s="25"/>
      <c r="B29" s="54" t="s">
        <v>35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6"/>
    </row>
    <row r="30" spans="1:18" ht="18">
      <c r="A30" s="25"/>
      <c r="B30" s="4" t="s">
        <v>19</v>
      </c>
      <c r="C30" s="16">
        <v>3</v>
      </c>
      <c r="D30" s="3">
        <v>0</v>
      </c>
      <c r="E30" s="16">
        <f>C30-D30</f>
        <v>3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20</v>
      </c>
      <c r="R30" s="16">
        <f>C30/1000*20</f>
        <v>0.06</v>
      </c>
    </row>
    <row r="31" spans="1:18" ht="18">
      <c r="A31" s="25"/>
      <c r="B31" s="4"/>
      <c r="C31" s="16"/>
      <c r="D31" s="3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6"/>
    </row>
    <row r="32" spans="1:18" ht="23.4">
      <c r="A32" s="25"/>
      <c r="B32" s="17" t="s">
        <v>19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>
        <f>R30+R28+R26+R22+R20+R11</f>
        <v>60.599999999999994</v>
      </c>
    </row>
  </sheetData>
  <mergeCells count="25">
    <mergeCell ref="B23:R23"/>
    <mergeCell ref="B27:R27"/>
    <mergeCell ref="B29:R29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B2:B3"/>
    <mergeCell ref="L3:L4"/>
    <mergeCell ref="F2:F4"/>
    <mergeCell ref="B12:R12"/>
    <mergeCell ref="B21:R21"/>
    <mergeCell ref="M3:M4"/>
    <mergeCell ref="N3:N4"/>
    <mergeCell ref="Q2:Q4"/>
    <mergeCell ref="J3:J4"/>
    <mergeCell ref="K3:K4"/>
    <mergeCell ref="M2:P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2022-02-05T13:56:02Z</dcterms:modified>
</cp:coreProperties>
</file>