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1" i="1"/>
  <c r="C11"/>
  <c r="R10"/>
  <c r="R11" s="1"/>
  <c r="D10"/>
  <c r="E10" s="1"/>
  <c r="D8"/>
  <c r="C8"/>
  <c r="R7"/>
  <c r="E7"/>
  <c r="M7" s="1"/>
  <c r="R6"/>
  <c r="R8" s="1"/>
  <c r="E6"/>
  <c r="P6" s="1"/>
  <c r="D6"/>
  <c r="M10" l="1"/>
  <c r="M11" s="1"/>
  <c r="F10"/>
  <c r="F11" s="1"/>
  <c r="J10"/>
  <c r="J11" s="1"/>
  <c r="O10"/>
  <c r="O11" s="1"/>
  <c r="D11"/>
  <c r="E11" s="1"/>
  <c r="I6"/>
  <c r="O7"/>
  <c r="N7"/>
  <c r="G6"/>
  <c r="F6"/>
  <c r="J6"/>
  <c r="J8" s="1"/>
  <c r="O6"/>
  <c r="F7"/>
  <c r="L7"/>
  <c r="L8" s="1"/>
  <c r="P7"/>
  <c r="P8" s="1"/>
  <c r="E8"/>
  <c r="G10"/>
  <c r="G11" s="1"/>
  <c r="L10"/>
  <c r="L11" s="1"/>
  <c r="P10"/>
  <c r="P11" s="1"/>
  <c r="N6"/>
  <c r="N8" s="1"/>
  <c r="I7"/>
  <c r="H6"/>
  <c r="M6"/>
  <c r="M8" s="1"/>
  <c r="H7"/>
  <c r="I10"/>
  <c r="I11" s="1"/>
  <c r="N10"/>
  <c r="N11" s="1"/>
  <c r="K6"/>
  <c r="K8" s="1"/>
  <c r="G7"/>
  <c r="H10"/>
  <c r="H11" s="1"/>
  <c r="G8" l="1"/>
  <c r="H8"/>
  <c r="I8"/>
  <c r="F8"/>
  <c r="O8"/>
  <c r="D13" l="1"/>
  <c r="E13" s="1"/>
  <c r="D14"/>
  <c r="E14" s="1"/>
  <c r="R14"/>
  <c r="R18" s="1"/>
  <c r="D15"/>
  <c r="E15" s="1"/>
  <c r="R21"/>
  <c r="P21"/>
  <c r="O21"/>
  <c r="N21"/>
  <c r="M21"/>
  <c r="L21"/>
  <c r="K21"/>
  <c r="J21"/>
  <c r="I21"/>
  <c r="H21"/>
  <c r="G21"/>
  <c r="F21"/>
  <c r="C21"/>
  <c r="D21"/>
  <c r="E23"/>
  <c r="G23" s="1"/>
  <c r="R23"/>
  <c r="C18"/>
  <c r="E17"/>
  <c r="J17" s="1"/>
  <c r="E16"/>
  <c r="J16" s="1"/>
  <c r="R25"/>
  <c r="E25"/>
  <c r="H13" l="1"/>
  <c r="P13"/>
  <c r="J13"/>
  <c r="G16"/>
  <c r="I23"/>
  <c r="D18"/>
  <c r="G15"/>
  <c r="N15"/>
  <c r="H14"/>
  <c r="F14"/>
  <c r="K14"/>
  <c r="O14"/>
  <c r="N14"/>
  <c r="J14"/>
  <c r="P14"/>
  <c r="I14"/>
  <c r="G14"/>
  <c r="K13"/>
  <c r="N13"/>
  <c r="G13"/>
  <c r="F13"/>
  <c r="G17"/>
  <c r="O13"/>
  <c r="I13"/>
  <c r="I15"/>
  <c r="M15"/>
  <c r="H15"/>
  <c r="O15"/>
  <c r="J15"/>
  <c r="F15"/>
  <c r="P15"/>
  <c r="K15"/>
  <c r="M14"/>
  <c r="M13"/>
  <c r="L18"/>
  <c r="H23"/>
  <c r="F23"/>
  <c r="I16"/>
  <c r="I17"/>
  <c r="E18"/>
  <c r="N18" l="1"/>
  <c r="F18"/>
  <c r="P18"/>
  <c r="M18"/>
  <c r="J18"/>
  <c r="O18"/>
  <c r="H18"/>
  <c r="I18"/>
  <c r="G18"/>
  <c r="K18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<sst xmlns="http://schemas.openxmlformats.org/spreadsheetml/2006/main" count="44" uniqueCount="39">
  <si>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</si>
  <si>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</si>
  <si>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</si>
  <si>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</si>
  <si>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</si>
  <si>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</si>
  <si>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</si>
  <si>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</si>
  <si>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</si>
  <si>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</si>
  <si>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</si>
  <si>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</si>
  <si>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</si>
  <si>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</si>
  <si>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</si>
  <si>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</si>
  <si>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</si>
  <si>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</si>
  <si>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</si>
  <si>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</si>
  <si>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</si>
  <si>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>сумма</t>
  </si>
  <si>
    <t>всего грамм</t>
  </si>
  <si>
    <t>масло сливочное</t>
  </si>
  <si>
    <t>соль</t>
  </si>
  <si>
    <t>капуста</t>
  </si>
  <si>
    <t>морковь</t>
  </si>
  <si>
    <t xml:space="preserve">лук </t>
  </si>
  <si>
    <t>зел.горох</t>
  </si>
  <si>
    <t>растит. масло</t>
  </si>
  <si>
    <t xml:space="preserve">     2.салат овощной</t>
  </si>
  <si>
    <t>4.сок натуральный</t>
  </si>
  <si>
    <t>5.яблоки</t>
  </si>
  <si>
    <t>6.соль</t>
  </si>
  <si>
    <t>1.картофельное пюре</t>
  </si>
  <si>
    <t>картофель</t>
  </si>
  <si>
    <t>2.курица в духовке</t>
  </si>
  <si>
    <t xml:space="preserve">курица </t>
  </si>
  <si>
    <t>29.01.2022 г.</t>
  </si>
</sst>
</file>

<file path=xl/styles.xml><?xml version="1.0" encoding="utf-8"?>
<styleSheet xmlns="http://schemas.openxmlformats.org/spreadsheetml/2006/main">
  <numFmts count="1">
    <numFmt numFmtId="164" formatCode="0.0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0" fontId="14" fillId="0" borderId="0" xfId="0" applyFont="1"/>
    <xf numFmtId="0" fontId="8" fillId="0" borderId="2" xfId="1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Border="1"/>
    <xf numFmtId="2" fontId="7" fillId="0" borderId="1" xfId="0" applyNumberFormat="1" applyFont="1" applyBorder="1"/>
    <xf numFmtId="164" fontId="0" fillId="0" borderId="1" xfId="0" applyNumberFormat="1" applyBorder="1"/>
    <xf numFmtId="0" fontId="22" fillId="2" borderId="1" xfId="1" applyNumberFormat="1" applyFont="1" applyFill="1" applyBorder="1" applyAlignment="1" applyProtection="1">
      <alignment vertical="center" wrapText="1"/>
    </xf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9" fillId="0" borderId="1" xfId="1" applyNumberFormat="1" applyFont="1" applyFill="1" applyBorder="1" applyAlignment="1" applyProtection="1">
      <alignment horizontal="left" vertical="top" wrapText="1"/>
    </xf>
    <xf numFmtId="1" fontId="7" fillId="0" borderId="1" xfId="0" applyNumberFormat="1" applyFont="1" applyBorder="1"/>
    <xf numFmtId="14" fontId="24" fillId="0" borderId="1" xfId="0" applyNumberFormat="1" applyFont="1" applyBorder="1"/>
    <xf numFmtId="0" fontId="23" fillId="0" borderId="1" xfId="0" applyFont="1" applyBorder="1"/>
    <xf numFmtId="0" fontId="27" fillId="2" borderId="1" xfId="1" applyNumberFormat="1" applyFont="1" applyFill="1" applyBorder="1" applyAlignment="1" applyProtection="1">
      <alignment vertical="center" wrapText="1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2" fontId="20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18" fillId="0" borderId="2" xfId="1" applyNumberFormat="1" applyFont="1" applyFill="1" applyBorder="1" applyAlignment="1" applyProtection="1">
      <alignment horizontal="center" vertical="center"/>
    </xf>
    <xf numFmtId="0" fontId="18" fillId="0" borderId="7" xfId="1" applyNumberFormat="1" applyFont="1" applyFill="1" applyBorder="1" applyAlignment="1" applyProtection="1">
      <alignment horizontal="center" vertical="center"/>
    </xf>
    <xf numFmtId="0" fontId="18" fillId="0" borderId="6" xfId="1" applyNumberFormat="1" applyFont="1" applyFill="1" applyBorder="1" applyAlignment="1" applyProtection="1">
      <alignment horizontal="center" vertical="center"/>
    </xf>
    <xf numFmtId="0" fontId="21" fillId="0" borderId="1" xfId="1" applyNumberFormat="1" applyFont="1" applyFill="1" applyBorder="1" applyAlignment="1" applyProtection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/>
    </xf>
    <xf numFmtId="2" fontId="20" fillId="0" borderId="4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2" borderId="2" xfId="1" applyNumberFormat="1" applyFont="1" applyFill="1" applyBorder="1" applyAlignment="1" applyProtection="1">
      <alignment horizontal="center" vertical="top" wrapText="1"/>
    </xf>
    <xf numFmtId="0" fontId="16" fillId="2" borderId="7" xfId="1" applyNumberFormat="1" applyFont="1" applyFill="1" applyBorder="1" applyAlignment="1" applyProtection="1">
      <alignment horizontal="center" vertical="top" wrapText="1"/>
    </xf>
    <xf numFmtId="0" fontId="16" fillId="2" borderId="6" xfId="1" applyNumberFormat="1" applyFont="1" applyFill="1" applyBorder="1" applyAlignment="1" applyProtection="1">
      <alignment horizontal="center" vertical="top" wrapText="1"/>
    </xf>
    <xf numFmtId="0" fontId="18" fillId="0" borderId="1" xfId="1" applyNumberFormat="1" applyFont="1" applyFill="1" applyBorder="1" applyAlignment="1" applyProtection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7" fillId="2" borderId="2" xfId="1" applyNumberFormat="1" applyFont="1" applyFill="1" applyBorder="1" applyAlignment="1" applyProtection="1">
      <alignment horizontal="center" vertical="top"/>
    </xf>
    <xf numFmtId="0" fontId="17" fillId="2" borderId="7" xfId="1" applyNumberFormat="1" applyFont="1" applyFill="1" applyBorder="1" applyAlignment="1" applyProtection="1">
      <alignment horizontal="center" vertical="top"/>
    </xf>
    <xf numFmtId="0" fontId="17" fillId="2" borderId="6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18" fillId="2" borderId="2" xfId="1" applyNumberFormat="1" applyFont="1" applyFill="1" applyBorder="1" applyAlignment="1" applyProtection="1">
      <alignment horizontal="center" vertical="center"/>
    </xf>
    <xf numFmtId="0" fontId="18" fillId="2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tabSelected="1" workbookViewId="0">
      <selection activeCell="J1" sqref="J1"/>
    </sheetView>
  </sheetViews>
  <sheetFormatPr defaultRowHeight="14.4"/>
  <cols>
    <col min="1" max="1" width="6.5546875" customWidth="1"/>
    <col min="2" max="2" width="13.77734375" customWidth="1"/>
    <col min="3" max="3" width="7.44140625" customWidth="1"/>
    <col min="4" max="4" width="6.88671875" customWidth="1"/>
    <col min="5" max="5" width="6.664062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31" t="s">
        <v>20</v>
      </c>
      <c r="C1" s="18"/>
      <c r="D1" s="18"/>
      <c r="E1" s="18"/>
      <c r="F1" s="18"/>
      <c r="G1" s="18"/>
      <c r="H1" s="18"/>
      <c r="I1" s="18" t="s">
        <v>1</v>
      </c>
      <c r="J1" s="30" t="s">
        <v>38</v>
      </c>
      <c r="K1" s="19"/>
      <c r="L1" s="19"/>
      <c r="M1" s="19"/>
      <c r="N1" s="19"/>
      <c r="O1" s="19"/>
      <c r="P1" s="19"/>
      <c r="Q1" s="19"/>
      <c r="R1" s="19"/>
    </row>
    <row r="2" spans="1:18" ht="33" customHeight="1">
      <c r="A2" s="29"/>
      <c r="B2" s="45" t="s">
        <v>5</v>
      </c>
      <c r="C2" s="55" t="s">
        <v>22</v>
      </c>
      <c r="D2" s="62" t="s">
        <v>6</v>
      </c>
      <c r="E2" s="62" t="s">
        <v>7</v>
      </c>
      <c r="F2" s="42" t="s">
        <v>2</v>
      </c>
      <c r="G2" s="42" t="s">
        <v>3</v>
      </c>
      <c r="H2" s="42" t="s">
        <v>4</v>
      </c>
      <c r="I2" s="42" t="s">
        <v>8</v>
      </c>
      <c r="J2" s="58" t="s">
        <v>9</v>
      </c>
      <c r="K2" s="58"/>
      <c r="L2" s="58"/>
      <c r="M2" s="58" t="s">
        <v>10</v>
      </c>
      <c r="N2" s="58"/>
      <c r="O2" s="58"/>
      <c r="P2" s="58"/>
      <c r="Q2" s="65" t="s">
        <v>11</v>
      </c>
      <c r="R2" s="59" t="s">
        <v>21</v>
      </c>
    </row>
    <row r="3" spans="1:18" ht="24" customHeight="1">
      <c r="A3" s="29"/>
      <c r="B3" s="46"/>
      <c r="C3" s="56"/>
      <c r="D3" s="63"/>
      <c r="E3" s="63"/>
      <c r="F3" s="43"/>
      <c r="G3" s="43"/>
      <c r="H3" s="43"/>
      <c r="I3" s="43"/>
      <c r="J3" s="42" t="s">
        <v>12</v>
      </c>
      <c r="K3" s="68" t="s">
        <v>13</v>
      </c>
      <c r="L3" s="42" t="s">
        <v>14</v>
      </c>
      <c r="M3" s="42" t="s">
        <v>15</v>
      </c>
      <c r="N3" s="42" t="s">
        <v>16</v>
      </c>
      <c r="O3" s="42" t="s">
        <v>17</v>
      </c>
      <c r="P3" s="42" t="s">
        <v>18</v>
      </c>
      <c r="Q3" s="66"/>
      <c r="R3" s="60"/>
    </row>
    <row r="4" spans="1:18" ht="7.8" customHeight="1">
      <c r="A4" s="29"/>
      <c r="B4" s="20"/>
      <c r="C4" s="57"/>
      <c r="D4" s="64"/>
      <c r="E4" s="64"/>
      <c r="F4" s="44"/>
      <c r="G4" s="44"/>
      <c r="H4" s="44"/>
      <c r="I4" s="44"/>
      <c r="J4" s="44"/>
      <c r="K4" s="69"/>
      <c r="L4" s="44"/>
      <c r="M4" s="44"/>
      <c r="N4" s="44"/>
      <c r="O4" s="44"/>
      <c r="P4" s="44"/>
      <c r="Q4" s="67"/>
      <c r="R4" s="61"/>
    </row>
    <row r="5" spans="1:18" s="6" customFormat="1" ht="19.2" customHeight="1">
      <c r="A5" s="49" t="s">
        <v>34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1"/>
    </row>
    <row r="6" spans="1:18" s="7" customFormat="1" ht="22.5" customHeight="1">
      <c r="A6" s="29"/>
      <c r="B6" s="14" t="s">
        <v>35</v>
      </c>
      <c r="C6" s="2">
        <v>160</v>
      </c>
      <c r="D6" s="2">
        <f>C6*0.25</f>
        <v>40</v>
      </c>
      <c r="E6" s="2">
        <f>C6-D6</f>
        <v>120</v>
      </c>
      <c r="F6" s="2">
        <f>E6*2%</f>
        <v>2.4</v>
      </c>
      <c r="G6" s="2">
        <f>E6*0.4%</f>
        <v>0.48</v>
      </c>
      <c r="H6" s="2">
        <f>E6*16.3%</f>
        <v>19.560000000000002</v>
      </c>
      <c r="I6" s="2">
        <f>E6*80%</f>
        <v>96</v>
      </c>
      <c r="J6" s="2">
        <f>E6*0.12%</f>
        <v>0.14399999999999999</v>
      </c>
      <c r="K6" s="2">
        <f>E6*20%</f>
        <v>24</v>
      </c>
      <c r="L6" s="2">
        <v>0</v>
      </c>
      <c r="M6" s="2">
        <f>E6*10%</f>
        <v>12</v>
      </c>
      <c r="N6" s="2">
        <f>E6*58%</f>
        <v>69.599999999999994</v>
      </c>
      <c r="O6" s="2">
        <f>E6*23%</f>
        <v>27.6</v>
      </c>
      <c r="P6" s="2">
        <f>E6*0.9%</f>
        <v>1.08</v>
      </c>
      <c r="Q6" s="2">
        <v>57</v>
      </c>
      <c r="R6" s="2">
        <f>C6/1000*57</f>
        <v>9.120000000000001</v>
      </c>
    </row>
    <row r="7" spans="1:18" s="8" customFormat="1" ht="19.5" customHeight="1">
      <c r="A7" s="29"/>
      <c r="B7" s="14" t="s">
        <v>23</v>
      </c>
      <c r="C7" s="2">
        <v>15</v>
      </c>
      <c r="D7" s="2">
        <v>0</v>
      </c>
      <c r="E7" s="2">
        <f>C7-D7</f>
        <v>15</v>
      </c>
      <c r="F7" s="2">
        <f>E7*0.5%</f>
        <v>7.4999999999999997E-2</v>
      </c>
      <c r="G7" s="2">
        <f>E7*82.5%</f>
        <v>12.375</v>
      </c>
      <c r="H7" s="2">
        <f>E7*0.8%</f>
        <v>0.12</v>
      </c>
      <c r="I7" s="2">
        <f>E7*748%</f>
        <v>112.2</v>
      </c>
      <c r="J7" s="2">
        <v>0</v>
      </c>
      <c r="K7" s="2">
        <v>0</v>
      </c>
      <c r="L7" s="2">
        <f>E7*0.59%</f>
        <v>8.8499999999999995E-2</v>
      </c>
      <c r="M7" s="2">
        <f>E7*12%</f>
        <v>1.7999999999999998</v>
      </c>
      <c r="N7" s="2">
        <f>E7*19%</f>
        <v>2.85</v>
      </c>
      <c r="O7" s="2">
        <f>E7*0.4%</f>
        <v>0.06</v>
      </c>
      <c r="P7" s="2">
        <f>E7*0.2%</f>
        <v>0.03</v>
      </c>
      <c r="Q7" s="2">
        <v>480</v>
      </c>
      <c r="R7" s="21">
        <f>C7/1000*480</f>
        <v>7.1999999999999993</v>
      </c>
    </row>
    <row r="8" spans="1:18" s="8" customFormat="1" ht="19.5" customHeight="1">
      <c r="A8" s="29"/>
      <c r="B8" s="28" t="s">
        <v>19</v>
      </c>
      <c r="C8" s="3">
        <f t="shared" ref="C8:P8" si="0">SUM(C6:C7)</f>
        <v>175</v>
      </c>
      <c r="D8" s="3">
        <f t="shared" si="0"/>
        <v>40</v>
      </c>
      <c r="E8" s="3">
        <f t="shared" si="0"/>
        <v>135</v>
      </c>
      <c r="F8" s="3">
        <f t="shared" si="0"/>
        <v>2.4750000000000001</v>
      </c>
      <c r="G8" s="3">
        <f t="shared" si="0"/>
        <v>12.855</v>
      </c>
      <c r="H8" s="3">
        <f t="shared" si="0"/>
        <v>19.680000000000003</v>
      </c>
      <c r="I8" s="3">
        <f t="shared" si="0"/>
        <v>208.2</v>
      </c>
      <c r="J8" s="3">
        <f t="shared" si="0"/>
        <v>0.14399999999999999</v>
      </c>
      <c r="K8" s="3">
        <f t="shared" si="0"/>
        <v>24</v>
      </c>
      <c r="L8" s="3">
        <f t="shared" si="0"/>
        <v>8.8499999999999995E-2</v>
      </c>
      <c r="M8" s="3">
        <f t="shared" si="0"/>
        <v>13.8</v>
      </c>
      <c r="N8" s="3">
        <f t="shared" si="0"/>
        <v>72.449999999999989</v>
      </c>
      <c r="O8" s="3">
        <f t="shared" si="0"/>
        <v>27.66</v>
      </c>
      <c r="P8" s="3">
        <f t="shared" si="0"/>
        <v>1.1100000000000001</v>
      </c>
      <c r="Q8" s="3"/>
      <c r="R8" s="3">
        <f>SUM(R6:R7)</f>
        <v>16.32</v>
      </c>
    </row>
    <row r="9" spans="1:18" s="8" customFormat="1" ht="19.2" customHeight="1">
      <c r="A9" s="29"/>
      <c r="B9" s="52" t="s">
        <v>36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4"/>
    </row>
    <row r="10" spans="1:18" s="8" customFormat="1" ht="19.5" customHeight="1">
      <c r="A10" s="29"/>
      <c r="B10" s="14" t="s">
        <v>37</v>
      </c>
      <c r="C10" s="2">
        <v>100</v>
      </c>
      <c r="D10" s="2">
        <f>C10*25%</f>
        <v>25</v>
      </c>
      <c r="E10" s="2">
        <f>C10-D10</f>
        <v>75</v>
      </c>
      <c r="F10" s="2">
        <f>E10*18.2%</f>
        <v>13.65</v>
      </c>
      <c r="G10" s="2">
        <f>E10*18.4%</f>
        <v>13.799999999999999</v>
      </c>
      <c r="H10" s="2">
        <f>E10*0.7%</f>
        <v>0.52499999999999991</v>
      </c>
      <c r="I10" s="2">
        <f>E10*241%</f>
        <v>180.75</v>
      </c>
      <c r="J10" s="2">
        <f>E10*0.07%</f>
        <v>5.2500000000000005E-2</v>
      </c>
      <c r="K10" s="2">
        <v>0</v>
      </c>
      <c r="L10" s="2">
        <f>E10*0.07%</f>
        <v>5.2500000000000005E-2</v>
      </c>
      <c r="M10" s="2">
        <f>E10*16%</f>
        <v>12</v>
      </c>
      <c r="N10" s="2">
        <f>E10*165%</f>
        <v>123.75</v>
      </c>
      <c r="O10" s="2">
        <f>E10*18%</f>
        <v>13.5</v>
      </c>
      <c r="P10" s="2">
        <f>E10*1.6%</f>
        <v>1.2</v>
      </c>
      <c r="Q10" s="2">
        <v>270</v>
      </c>
      <c r="R10" s="2">
        <f>C10/1000*270</f>
        <v>27</v>
      </c>
    </row>
    <row r="11" spans="1:18" s="8" customFormat="1" ht="19.5" customHeight="1">
      <c r="A11" s="29"/>
      <c r="B11" s="4" t="s">
        <v>19</v>
      </c>
      <c r="C11" s="3">
        <f>SUM(C10:C10)</f>
        <v>100</v>
      </c>
      <c r="D11" s="3">
        <f>SUM(D10:D10)</f>
        <v>25</v>
      </c>
      <c r="E11" s="3">
        <f>C11-D11</f>
        <v>75</v>
      </c>
      <c r="F11" s="3">
        <f t="shared" ref="F11:P11" si="1">SUM(F10:F10)</f>
        <v>13.65</v>
      </c>
      <c r="G11" s="3">
        <f t="shared" si="1"/>
        <v>13.799999999999999</v>
      </c>
      <c r="H11" s="3">
        <f t="shared" si="1"/>
        <v>0.52499999999999991</v>
      </c>
      <c r="I11" s="3">
        <f t="shared" si="1"/>
        <v>180.75</v>
      </c>
      <c r="J11" s="3">
        <f t="shared" si="1"/>
        <v>5.2500000000000005E-2</v>
      </c>
      <c r="K11" s="3">
        <f t="shared" si="1"/>
        <v>0</v>
      </c>
      <c r="L11" s="3">
        <f t="shared" si="1"/>
        <v>5.2500000000000005E-2</v>
      </c>
      <c r="M11" s="3">
        <f t="shared" si="1"/>
        <v>12</v>
      </c>
      <c r="N11" s="3">
        <f t="shared" si="1"/>
        <v>123.75</v>
      </c>
      <c r="O11" s="3">
        <f t="shared" si="1"/>
        <v>13.5</v>
      </c>
      <c r="P11" s="3">
        <f t="shared" si="1"/>
        <v>1.2</v>
      </c>
      <c r="Q11" s="3"/>
      <c r="R11" s="3">
        <f t="shared" ref="R11" si="2">SUM(R10:R10)</f>
        <v>27</v>
      </c>
    </row>
    <row r="12" spans="1:18" s="9" customFormat="1" ht="22.2" customHeight="1">
      <c r="A12" s="15"/>
      <c r="B12" s="33" t="s">
        <v>30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</row>
    <row r="13" spans="1:18" s="6" customFormat="1" ht="18">
      <c r="A13" s="5"/>
      <c r="B13" s="14" t="s">
        <v>25</v>
      </c>
      <c r="C13" s="2">
        <v>3.9E-2</v>
      </c>
      <c r="D13" s="2">
        <f>C13*0.25</f>
        <v>9.75E-3</v>
      </c>
      <c r="E13" s="2">
        <f>C13-D13</f>
        <v>2.9249999999999998E-2</v>
      </c>
      <c r="F13" s="2">
        <f>E13*2%</f>
        <v>5.8500000000000002E-4</v>
      </c>
      <c r="G13" s="2">
        <f>E13*0.4%</f>
        <v>1.17E-4</v>
      </c>
      <c r="H13" s="2">
        <f>E13*16.3%</f>
        <v>4.7677500000000003E-3</v>
      </c>
      <c r="I13" s="2">
        <f>E13*80%</f>
        <v>2.3400000000000001E-2</v>
      </c>
      <c r="J13" s="2">
        <f>E13*0.12%</f>
        <v>3.5099999999999993E-5</v>
      </c>
      <c r="K13" s="2">
        <f>E13*20%</f>
        <v>5.8500000000000002E-3</v>
      </c>
      <c r="L13" s="2">
        <v>0</v>
      </c>
      <c r="M13" s="2">
        <f>E13*10%</f>
        <v>2.9250000000000001E-3</v>
      </c>
      <c r="N13" s="2">
        <f>E13*58%</f>
        <v>1.6964999999999997E-2</v>
      </c>
      <c r="O13" s="2">
        <f>E13*23%</f>
        <v>6.7275E-3</v>
      </c>
      <c r="P13" s="2">
        <f>E13*0.9%</f>
        <v>2.6325000000000003E-4</v>
      </c>
      <c r="Q13" s="2">
        <v>25</v>
      </c>
      <c r="R13" s="2">
        <v>1.6</v>
      </c>
    </row>
    <row r="14" spans="1:18" s="10" customFormat="1" ht="22.2" customHeight="1">
      <c r="A14" s="5"/>
      <c r="B14" s="14" t="s">
        <v>26</v>
      </c>
      <c r="C14" s="2">
        <v>6.5000000000000002E-2</v>
      </c>
      <c r="D14" s="2">
        <f>C14*0.2</f>
        <v>1.3000000000000001E-2</v>
      </c>
      <c r="E14" s="2">
        <f>C14-D14</f>
        <v>5.2000000000000005E-2</v>
      </c>
      <c r="F14" s="2">
        <f>E14*1.3%</f>
        <v>6.7600000000000017E-4</v>
      </c>
      <c r="G14" s="23">
        <f>E14*0.001</f>
        <v>5.2000000000000004E-5</v>
      </c>
      <c r="H14" s="2">
        <f>E14*0.072</f>
        <v>3.7439999999999999E-3</v>
      </c>
      <c r="I14" s="2">
        <f>E14*0.3</f>
        <v>1.5600000000000001E-2</v>
      </c>
      <c r="J14" s="2">
        <f>E14*0.06%</f>
        <v>3.1199999999999999E-5</v>
      </c>
      <c r="K14" s="2">
        <f>E14*5%</f>
        <v>2.6000000000000003E-3</v>
      </c>
      <c r="L14" s="2">
        <v>0</v>
      </c>
      <c r="M14" s="2">
        <f>E14*51%</f>
        <v>2.6520000000000002E-2</v>
      </c>
      <c r="N14" s="2">
        <f>E14*55%</f>
        <v>2.8600000000000004E-2</v>
      </c>
      <c r="O14" s="2">
        <f>E14*38%</f>
        <v>1.9760000000000003E-2</v>
      </c>
      <c r="P14" s="2">
        <f>E14*0.7%</f>
        <v>3.6400000000000001E-4</v>
      </c>
      <c r="Q14" s="2">
        <v>55</v>
      </c>
      <c r="R14" s="14">
        <f>C14/1000*60</f>
        <v>3.9000000000000007E-3</v>
      </c>
    </row>
    <row r="15" spans="1:18" s="11" customFormat="1" ht="22.2" customHeight="1">
      <c r="A15" s="5"/>
      <c r="B15" s="24" t="s">
        <v>27</v>
      </c>
      <c r="C15" s="2">
        <v>0.02</v>
      </c>
      <c r="D15" s="2">
        <f>C15*0.2</f>
        <v>4.0000000000000001E-3</v>
      </c>
      <c r="E15" s="2">
        <f>C15-D15</f>
        <v>1.6E-2</v>
      </c>
      <c r="F15" s="2">
        <f>E15*0.015</f>
        <v>2.4000000000000001E-4</v>
      </c>
      <c r="G15" s="2">
        <f>E15*0.001</f>
        <v>1.5999999999999999E-5</v>
      </c>
      <c r="H15" s="2">
        <f>E15*0.091</f>
        <v>1.456E-3</v>
      </c>
      <c r="I15" s="2">
        <f>E15*0.42</f>
        <v>6.7200000000000003E-3</v>
      </c>
      <c r="J15" s="2">
        <f>E15*0.02%</f>
        <v>3.2000000000000003E-6</v>
      </c>
      <c r="K15" s="2">
        <f>E15*10%</f>
        <v>1.6000000000000001E-3</v>
      </c>
      <c r="L15" s="2">
        <v>0</v>
      </c>
      <c r="M15" s="2">
        <f>E15*37%</f>
        <v>5.9199999999999999E-3</v>
      </c>
      <c r="N15" s="2">
        <f>E15*43%</f>
        <v>6.8799999999999998E-3</v>
      </c>
      <c r="O15" s="2">
        <f>E15*22%</f>
        <v>3.5200000000000001E-3</v>
      </c>
      <c r="P15" s="2">
        <f>E15*1.4%</f>
        <v>2.2399999999999997E-4</v>
      </c>
      <c r="Q15" s="2">
        <v>35</v>
      </c>
      <c r="R15" s="2">
        <v>3.5000000000000003E-2</v>
      </c>
    </row>
    <row r="16" spans="1:18" s="11" customFormat="1" ht="18">
      <c r="A16" s="25"/>
      <c r="B16" s="24" t="s">
        <v>28</v>
      </c>
      <c r="C16" s="26">
        <v>5.2999999999999999E-2</v>
      </c>
      <c r="D16" s="26">
        <v>0</v>
      </c>
      <c r="E16" s="26">
        <f>C16-D16</f>
        <v>5.2999999999999999E-2</v>
      </c>
      <c r="F16" s="26">
        <v>0</v>
      </c>
      <c r="G16" s="27">
        <f>E16*0.999</f>
        <v>5.2947000000000001E-2</v>
      </c>
      <c r="H16" s="26">
        <v>0</v>
      </c>
      <c r="I16" s="26">
        <f>E16*8.99</f>
        <v>0.47647</v>
      </c>
      <c r="J16" s="26">
        <f>E16*0.06%</f>
        <v>3.1799999999999994E-5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58</v>
      </c>
      <c r="R16" s="26">
        <v>2.8999999999999998E-3</v>
      </c>
    </row>
    <row r="17" spans="1:18" s="11" customFormat="1" ht="18">
      <c r="A17" s="5"/>
      <c r="B17" s="32" t="s">
        <v>29</v>
      </c>
      <c r="C17" s="2">
        <v>0.01</v>
      </c>
      <c r="D17" s="2">
        <v>0</v>
      </c>
      <c r="E17" s="2">
        <f>C17-D17</f>
        <v>0.01</v>
      </c>
      <c r="F17" s="2">
        <v>0</v>
      </c>
      <c r="G17" s="23">
        <f>E17*0.999</f>
        <v>9.9900000000000006E-3</v>
      </c>
      <c r="H17" s="2">
        <v>0</v>
      </c>
      <c r="I17" s="2">
        <f>E17*8.99</f>
        <v>8.9900000000000008E-2</v>
      </c>
      <c r="J17" s="2">
        <f>E17*0.06%</f>
        <v>5.9999999999999993E-6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145</v>
      </c>
      <c r="R17" s="2">
        <v>1.4499999999999999E-3</v>
      </c>
    </row>
    <row r="18" spans="1:18" s="11" customFormat="1" ht="18">
      <c r="A18" s="5"/>
      <c r="B18" s="28" t="s">
        <v>19</v>
      </c>
      <c r="C18" s="3">
        <f t="shared" ref="C18:P18" si="3">SUM(C13:C17)</f>
        <v>0.18700000000000003</v>
      </c>
      <c r="D18" s="3">
        <f t="shared" si="3"/>
        <v>2.6749999999999999E-2</v>
      </c>
      <c r="E18" s="3">
        <f t="shared" si="3"/>
        <v>0.16025</v>
      </c>
      <c r="F18" s="3">
        <f t="shared" si="3"/>
        <v>1.5010000000000002E-3</v>
      </c>
      <c r="G18" s="3">
        <f t="shared" si="3"/>
        <v>6.3121999999999998E-2</v>
      </c>
      <c r="H18" s="3">
        <f t="shared" si="3"/>
        <v>9.9677500000000009E-3</v>
      </c>
      <c r="I18" s="3">
        <f t="shared" si="3"/>
        <v>0.61209000000000002</v>
      </c>
      <c r="J18" s="3">
        <f t="shared" si="3"/>
        <v>1.0729999999999997E-4</v>
      </c>
      <c r="K18" s="3">
        <f t="shared" si="3"/>
        <v>1.0050000000000002E-2</v>
      </c>
      <c r="L18" s="3">
        <f t="shared" si="3"/>
        <v>0</v>
      </c>
      <c r="M18" s="3">
        <f t="shared" si="3"/>
        <v>3.5365000000000001E-2</v>
      </c>
      <c r="N18" s="3">
        <f t="shared" si="3"/>
        <v>5.2444999999999999E-2</v>
      </c>
      <c r="O18" s="3">
        <f t="shared" si="3"/>
        <v>3.0007500000000003E-2</v>
      </c>
      <c r="P18" s="3">
        <f t="shared" si="3"/>
        <v>8.5125000000000001E-4</v>
      </c>
      <c r="Q18" s="3"/>
      <c r="R18" s="3">
        <f t="shared" ref="R18" si="4">SUM(R13:R17)</f>
        <v>1.6432499999999999</v>
      </c>
    </row>
    <row r="19" spans="1:18" s="11" customFormat="1" ht="18">
      <c r="A19" s="5"/>
      <c r="B19" s="36" t="s">
        <v>31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1:18" s="12" customFormat="1" ht="18">
      <c r="A20" s="29"/>
      <c r="B20" s="2"/>
      <c r="C20" s="2">
        <v>0.2</v>
      </c>
      <c r="D20" s="3">
        <v>0</v>
      </c>
      <c r="E20" s="2">
        <v>150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70</v>
      </c>
      <c r="R20" s="2">
        <v>1.4E-2</v>
      </c>
    </row>
    <row r="21" spans="1:18" s="13" customFormat="1" ht="18">
      <c r="A21" s="29"/>
      <c r="B21" s="4" t="s">
        <v>19</v>
      </c>
      <c r="C21" s="3">
        <f>SUM(C20:C20)</f>
        <v>0.2</v>
      </c>
      <c r="D21" s="3">
        <f>SUM(D20:D20)</f>
        <v>0</v>
      </c>
      <c r="E21" s="3">
        <v>150</v>
      </c>
      <c r="F21" s="3">
        <f t="shared" ref="F21:P21" si="5">SUM(F20:F20)</f>
        <v>0</v>
      </c>
      <c r="G21" s="3">
        <f t="shared" si="5"/>
        <v>0</v>
      </c>
      <c r="H21" s="3">
        <f t="shared" si="5"/>
        <v>0</v>
      </c>
      <c r="I21" s="3">
        <f t="shared" si="5"/>
        <v>0</v>
      </c>
      <c r="J21" s="3">
        <f t="shared" si="5"/>
        <v>0</v>
      </c>
      <c r="K21" s="3">
        <f t="shared" si="5"/>
        <v>0</v>
      </c>
      <c r="L21" s="3">
        <f t="shared" si="5"/>
        <v>0</v>
      </c>
      <c r="M21" s="3">
        <f t="shared" si="5"/>
        <v>0</v>
      </c>
      <c r="N21" s="3">
        <f t="shared" si="5"/>
        <v>0</v>
      </c>
      <c r="O21" s="3">
        <f t="shared" si="5"/>
        <v>0</v>
      </c>
      <c r="P21" s="3">
        <f t="shared" si="5"/>
        <v>0</v>
      </c>
      <c r="Q21" s="3"/>
      <c r="R21" s="3">
        <f>SUM(R20:R20)</f>
        <v>1.4E-2</v>
      </c>
    </row>
    <row r="22" spans="1:18" s="13" customFormat="1" ht="18">
      <c r="A22" s="5"/>
      <c r="B22" s="36" t="s">
        <v>32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8"/>
    </row>
    <row r="23" spans="1:18" s="6" customFormat="1" ht="18">
      <c r="A23" s="5"/>
      <c r="B23" s="4" t="s">
        <v>19</v>
      </c>
      <c r="C23" s="3">
        <v>135</v>
      </c>
      <c r="D23" s="3">
        <v>0</v>
      </c>
      <c r="E23" s="3">
        <f>C23-D23</f>
        <v>135</v>
      </c>
      <c r="F23" s="3">
        <f>E23*1.5%</f>
        <v>2.0249999999999999</v>
      </c>
      <c r="G23" s="3">
        <f>E23*0.5%</f>
        <v>0.67500000000000004</v>
      </c>
      <c r="H23" s="3">
        <f>E23*21%</f>
        <v>28.349999999999998</v>
      </c>
      <c r="I23" s="3">
        <f>E23*96%</f>
        <v>129.6</v>
      </c>
      <c r="J23" s="3">
        <v>0</v>
      </c>
      <c r="K23" s="3">
        <v>8.6999999999999993</v>
      </c>
      <c r="L23" s="3">
        <v>3</v>
      </c>
      <c r="M23" s="3">
        <v>5</v>
      </c>
      <c r="N23" s="3">
        <v>22</v>
      </c>
      <c r="O23" s="3">
        <v>27</v>
      </c>
      <c r="P23" s="3">
        <v>0.3</v>
      </c>
      <c r="Q23" s="3">
        <v>122</v>
      </c>
      <c r="R23" s="3">
        <f>C23/1000*122</f>
        <v>16.470000000000002</v>
      </c>
    </row>
    <row r="24" spans="1:18" s="13" customFormat="1" ht="18">
      <c r="A24" s="5"/>
      <c r="B24" s="39" t="s">
        <v>33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1"/>
    </row>
    <row r="25" spans="1:18" s="13" customFormat="1" ht="18">
      <c r="A25" s="5"/>
      <c r="B25" s="4" t="s">
        <v>24</v>
      </c>
      <c r="C25" s="16">
        <v>3</v>
      </c>
      <c r="D25" s="3">
        <v>0</v>
      </c>
      <c r="E25" s="16">
        <f>C25-D25</f>
        <v>3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20</v>
      </c>
      <c r="R25" s="16">
        <f>C25/1000*20</f>
        <v>0.06</v>
      </c>
    </row>
    <row r="26" spans="1:18" s="13" customFormat="1" ht="23.4">
      <c r="A26" s="22"/>
      <c r="B26" s="17" t="s">
        <v>19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>
        <v>61</v>
      </c>
    </row>
  </sheetData>
  <mergeCells count="25">
    <mergeCell ref="Q2:Q4"/>
    <mergeCell ref="J3:J4"/>
    <mergeCell ref="K3:K4"/>
    <mergeCell ref="M2:P2"/>
    <mergeCell ref="E2:E4"/>
    <mergeCell ref="G2:G4"/>
    <mergeCell ref="H2:H4"/>
    <mergeCell ref="I2:I4"/>
    <mergeCell ref="P3:P4"/>
    <mergeCell ref="B12:R12"/>
    <mergeCell ref="B19:R19"/>
    <mergeCell ref="B24:R24"/>
    <mergeCell ref="F2:F4"/>
    <mergeCell ref="B2:B3"/>
    <mergeCell ref="L3:L4"/>
    <mergeCell ref="M3:M4"/>
    <mergeCell ref="N3:N4"/>
    <mergeCell ref="B22:R22"/>
    <mergeCell ref="A5:R5"/>
    <mergeCell ref="B9:R9"/>
    <mergeCell ref="C2:C4"/>
    <mergeCell ref="J2:L2"/>
    <mergeCell ref="R2:R4"/>
    <mergeCell ref="O3:O4"/>
    <mergeCell ref="D2:D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2022-01-29T08:53:45Z</dcterms:modified>
</cp:coreProperties>
</file>