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20" i="1"/>
  <c r="C20"/>
  <c r="R19"/>
  <c r="I19"/>
  <c r="E19"/>
  <c r="G19" s="1"/>
  <c r="R18"/>
  <c r="E18"/>
  <c r="G18" s="1"/>
  <c r="R17"/>
  <c r="E17"/>
  <c r="O17" s="1"/>
  <c r="D17"/>
  <c r="R16"/>
  <c r="D16"/>
  <c r="E16" s="1"/>
  <c r="R15"/>
  <c r="E15"/>
  <c r="M15" s="1"/>
  <c r="D15"/>
  <c r="E22"/>
  <c r="F22" s="1"/>
  <c r="R22"/>
  <c r="R24"/>
  <c r="E24"/>
  <c r="R13"/>
  <c r="E13"/>
  <c r="N13" s="1"/>
  <c r="K11"/>
  <c r="C11"/>
  <c r="R10"/>
  <c r="R11" s="1"/>
  <c r="D10"/>
  <c r="E10" s="1"/>
  <c r="K8"/>
  <c r="C8"/>
  <c r="R7"/>
  <c r="E7"/>
  <c r="N7" s="1"/>
  <c r="R6"/>
  <c r="E6"/>
  <c r="M6" s="1"/>
  <c r="P16" l="1"/>
  <c r="O16"/>
  <c r="O20" s="1"/>
  <c r="F16"/>
  <c r="J16"/>
  <c r="K15"/>
  <c r="J15"/>
  <c r="G15"/>
  <c r="P15"/>
  <c r="D20"/>
  <c r="R20"/>
  <c r="F15"/>
  <c r="O15"/>
  <c r="J19"/>
  <c r="N16"/>
  <c r="H17"/>
  <c r="M17"/>
  <c r="J18"/>
  <c r="I15"/>
  <c r="N15"/>
  <c r="H16"/>
  <c r="M16"/>
  <c r="G17"/>
  <c r="K17"/>
  <c r="P17"/>
  <c r="I18"/>
  <c r="I17"/>
  <c r="N17"/>
  <c r="E20"/>
  <c r="I16"/>
  <c r="H15"/>
  <c r="G16"/>
  <c r="G20" s="1"/>
  <c r="K16"/>
  <c r="F17"/>
  <c r="F20" s="1"/>
  <c r="J17"/>
  <c r="H6"/>
  <c r="K22"/>
  <c r="G22"/>
  <c r="N22"/>
  <c r="H22"/>
  <c r="M22"/>
  <c r="P22"/>
  <c r="I22"/>
  <c r="O22"/>
  <c r="J22"/>
  <c r="R8"/>
  <c r="N6"/>
  <c r="N8" s="1"/>
  <c r="E11"/>
  <c r="P10"/>
  <c r="P11" s="1"/>
  <c r="L10"/>
  <c r="L11" s="1"/>
  <c r="G10"/>
  <c r="G11" s="1"/>
  <c r="M10"/>
  <c r="M11" s="1"/>
  <c r="H10"/>
  <c r="H11" s="1"/>
  <c r="N10"/>
  <c r="N11" s="1"/>
  <c r="I10"/>
  <c r="I11" s="1"/>
  <c r="O10"/>
  <c r="O11" s="1"/>
  <c r="J10"/>
  <c r="J11" s="1"/>
  <c r="F10"/>
  <c r="F11" s="1"/>
  <c r="F6"/>
  <c r="J6"/>
  <c r="J8" s="1"/>
  <c r="P6"/>
  <c r="G7"/>
  <c r="M7"/>
  <c r="M8" s="1"/>
  <c r="D11"/>
  <c r="G13"/>
  <c r="M13"/>
  <c r="O7"/>
  <c r="I6"/>
  <c r="O6"/>
  <c r="F7"/>
  <c r="L7"/>
  <c r="L8" s="1"/>
  <c r="P7"/>
  <c r="F13"/>
  <c r="J13"/>
  <c r="P13"/>
  <c r="I7"/>
  <c r="I13"/>
  <c r="O13"/>
  <c r="G6"/>
  <c r="H7"/>
  <c r="H8" s="1"/>
  <c r="H13"/>
  <c r="K20" l="1"/>
  <c r="P20"/>
  <c r="M20"/>
  <c r="J20"/>
  <c r="N20"/>
  <c r="H20"/>
  <c r="I20"/>
  <c r="I8"/>
  <c r="O8"/>
  <c r="F8"/>
  <c r="G8"/>
  <c r="P8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<sst xmlns="http://schemas.openxmlformats.org/spreadsheetml/2006/main" count="45" uniqueCount="39">
  <si>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</si>
  <si>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</si>
  <si>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</si>
  <si>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</si>
  <si>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</si>
  <si>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</si>
  <si>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</si>
  <si>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</si>
  <si>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</si>
  <si>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</si>
  <si>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</si>
  <si>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</si>
  <si>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</si>
  <si>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</si>
  <si>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</si>
  <si>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</si>
  <si>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</si>
  <si>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</si>
  <si>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</si>
  <si>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</si>
  <si>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</si>
  <si>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>сумма</t>
  </si>
  <si>
    <t>3.хлеб</t>
  </si>
  <si>
    <t>масло сливочное</t>
  </si>
  <si>
    <t xml:space="preserve"> всего грамм</t>
  </si>
  <si>
    <t>ДЕНЬ № 1</t>
  </si>
  <si>
    <t>1.каша гречневая</t>
  </si>
  <si>
    <t>крупа гречневая</t>
  </si>
  <si>
    <t>2.курица в духовке</t>
  </si>
  <si>
    <t xml:space="preserve">курица </t>
  </si>
  <si>
    <t>7.соль</t>
  </si>
  <si>
    <t>морковь</t>
  </si>
  <si>
    <t>свекла</t>
  </si>
  <si>
    <t>зел.горох</t>
  </si>
  <si>
    <t>растит. масло</t>
  </si>
  <si>
    <t xml:space="preserve">4.салат овощной </t>
  </si>
  <si>
    <t>капуста</t>
  </si>
  <si>
    <t xml:space="preserve">6.яблоки </t>
  </si>
  <si>
    <t>22.01.2022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</si>
</sst>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5" fillId="0" borderId="1" xfId="0" applyNumberFormat="1" applyFont="1" applyBorder="1"/>
    <xf numFmtId="1" fontId="6" fillId="0" borderId="1" xfId="0" applyNumberFormat="1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0" fontId="1" fillId="0" borderId="0" xfId="0" applyFont="1"/>
    <xf numFmtId="2" fontId="7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0" fillId="0" borderId="1" xfId="0" applyBorder="1"/>
    <xf numFmtId="0" fontId="4" fillId="0" borderId="1" xfId="0" applyFont="1" applyBorder="1"/>
    <xf numFmtId="164" fontId="5" fillId="0" borderId="1" xfId="0" applyNumberFormat="1" applyFont="1" applyBorder="1"/>
    <xf numFmtId="2" fontId="9" fillId="0" borderId="1" xfId="0" applyNumberFormat="1" applyFont="1" applyBorder="1"/>
    <xf numFmtId="0" fontId="10" fillId="0" borderId="1" xfId="0" applyFont="1" applyBorder="1"/>
    <xf numFmtId="14" fontId="10" fillId="0" borderId="1" xfId="0" applyNumberFormat="1" applyFont="1" applyBorder="1"/>
    <xf numFmtId="0" fontId="11" fillId="0" borderId="0" xfId="0" applyFont="1"/>
    <xf numFmtId="2" fontId="14" fillId="0" borderId="1" xfId="0" applyNumberFormat="1" applyFont="1" applyBorder="1"/>
    <xf numFmtId="1" fontId="15" fillId="0" borderId="1" xfId="0" applyNumberFormat="1" applyFont="1" applyBorder="1"/>
    <xf numFmtId="0" fontId="16" fillId="2" borderId="1" xfId="0" applyFont="1" applyFill="1" applyBorder="1" applyAlignment="1"/>
    <xf numFmtId="0" fontId="17" fillId="0" borderId="1" xfId="1" applyNumberFormat="1" applyFont="1" applyFill="1" applyBorder="1" applyAlignment="1" applyProtection="1">
      <alignment horizontal="left" vertical="center" wrapText="1"/>
    </xf>
    <xf numFmtId="0" fontId="16" fillId="2" borderId="2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2" fontId="13" fillId="0" borderId="3" xfId="0" applyNumberFormat="1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5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0" borderId="2" xfId="1" applyNumberFormat="1" applyFont="1" applyFill="1" applyBorder="1" applyAlignment="1" applyProtection="1">
      <alignment horizontal="center" vertical="center"/>
    </xf>
    <xf numFmtId="0" fontId="16" fillId="0" borderId="6" xfId="1" applyNumberFormat="1" applyFont="1" applyFill="1" applyBorder="1" applyAlignment="1" applyProtection="1">
      <alignment horizontal="center" vertical="center"/>
    </xf>
    <xf numFmtId="0" fontId="16" fillId="2" borderId="2" xfId="1" applyNumberFormat="1" applyFont="1" applyFill="1" applyBorder="1" applyAlignment="1" applyProtection="1">
      <alignment horizontal="center" vertical="center"/>
    </xf>
    <xf numFmtId="0" fontId="16" fillId="2" borderId="7" xfId="1" applyNumberFormat="1" applyFont="1" applyFill="1" applyBorder="1" applyAlignment="1" applyProtection="1">
      <alignment horizontal="center" vertical="center"/>
    </xf>
    <xf numFmtId="0" fontId="16" fillId="2" borderId="6" xfId="1" applyNumberFormat="1" applyFont="1" applyFill="1" applyBorder="1" applyAlignment="1" applyProtection="1">
      <alignment horizontal="center" vertical="center"/>
    </xf>
    <xf numFmtId="0" fontId="16" fillId="0" borderId="7" xfId="1" applyNumberFormat="1" applyFont="1" applyFill="1" applyBorder="1" applyAlignment="1" applyProtection="1">
      <alignment horizontal="center" vertical="center"/>
    </xf>
    <xf numFmtId="0" fontId="16" fillId="0" borderId="3" xfId="1" applyNumberFormat="1" applyFont="1" applyFill="1" applyBorder="1" applyAlignment="1" applyProtection="1">
      <alignment horizontal="center" vertical="center"/>
    </xf>
    <xf numFmtId="0" fontId="16" fillId="0" borderId="4" xfId="1" applyNumberFormat="1" applyFont="1" applyFill="1" applyBorder="1" applyAlignment="1" applyProtection="1">
      <alignment horizontal="center" vertical="center"/>
    </xf>
    <xf numFmtId="0" fontId="16" fillId="0" borderId="5" xfId="1" applyNumberFormat="1" applyFont="1" applyFill="1" applyBorder="1" applyAlignment="1" applyProtection="1">
      <alignment horizontal="center" vertical="center"/>
    </xf>
    <xf numFmtId="0" fontId="17" fillId="0" borderId="2" xfId="1" applyNumberFormat="1" applyFont="1" applyFill="1" applyBorder="1" applyAlignment="1" applyProtection="1">
      <alignment horizontal="center" vertical="center"/>
    </xf>
    <xf numFmtId="0" fontId="17" fillId="0" borderId="6" xfId="1" applyNumberFormat="1" applyFont="1" applyFill="1" applyBorder="1" applyAlignment="1" applyProtection="1">
      <alignment horizontal="center" vertical="center"/>
    </xf>
    <xf numFmtId="0" fontId="16" fillId="0" borderId="2" xfId="1" applyNumberFormat="1" applyFont="1" applyFill="1" applyBorder="1" applyAlignment="1" applyProtection="1">
      <alignment horizontal="center" vertical="center" wrapText="1"/>
    </xf>
    <xf numFmtId="0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6" xfId="1" applyNumberFormat="1" applyFont="1" applyFill="1" applyBorder="1" applyAlignment="1" applyProtection="1">
      <alignment horizontal="center" vertical="center" wrapText="1"/>
    </xf>
    <xf numFmtId="164" fontId="0" fillId="0" borderId="1" xfId="0" applyNumberFormat="1" applyBorder="1"/>
    <xf numFmtId="0" fontId="18" fillId="2" borderId="1" xfId="1" applyNumberFormat="1" applyFont="1" applyFill="1" applyBorder="1" applyAlignment="1" applyProtection="1">
      <alignment vertical="center" wrapText="1"/>
    </xf>
    <xf numFmtId="2" fontId="4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9" fillId="0" borderId="1" xfId="1" applyNumberFormat="1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tabSelected="1" workbookViewId="0">
      <selection activeCell="G8" sqref="G8"/>
    </sheetView>
  </sheetViews>
  <sheetFormatPr defaultRowHeight="14.4"/>
  <cols>
    <col min="1" max="1" width="7.77734375" customWidth="1"/>
    <col min="2" max="2" width="12.6640625" customWidth="1"/>
    <col min="3" max="3" width="8.21875" customWidth="1"/>
    <col min="4" max="4" width="7.88671875" customWidth="1"/>
    <col min="5" max="5" width="6.77734375" customWidth="1"/>
    <col min="6" max="6" width="6.21875" customWidth="1"/>
    <col min="7" max="7" width="5.88671875" customWidth="1"/>
    <col min="8" max="8" width="9.109375" customWidth="1"/>
    <col min="9" max="9" width="7.44140625" customWidth="1"/>
    <col min="10" max="10" width="9" customWidth="1"/>
    <col min="11" max="11" width="6.21875" customWidth="1"/>
    <col min="12" max="18" width="8.88671875" customWidth="1"/>
  </cols>
  <sheetData>
    <row r="1" spans="1:18" ht="17.399999999999999" customHeight="1">
      <c r="A1" s="1" t="s">
        <v>0</v>
      </c>
      <c r="B1" s="19" t="s">
        <v>20</v>
      </c>
      <c r="C1" s="19"/>
      <c r="D1" s="19"/>
      <c r="E1" s="19"/>
      <c r="F1" s="19"/>
      <c r="G1" s="19"/>
      <c r="H1" s="19"/>
      <c r="I1" s="19" t="s">
        <v>1</v>
      </c>
      <c r="J1" s="20" t="s">
        <v>38</v>
      </c>
      <c r="K1" s="21"/>
      <c r="L1" s="21"/>
      <c r="M1" s="21"/>
      <c r="N1" s="21"/>
      <c r="O1" s="21"/>
      <c r="P1" s="21"/>
      <c r="Q1" s="21"/>
      <c r="R1" s="21"/>
    </row>
    <row r="2" spans="1:18" ht="33" customHeight="1">
      <c r="A2" s="26"/>
      <c r="B2" s="49" t="s">
        <v>5</v>
      </c>
      <c r="C2" s="51" t="s">
        <v>24</v>
      </c>
      <c r="D2" s="42" t="s">
        <v>6</v>
      </c>
      <c r="E2" s="42" t="s">
        <v>7</v>
      </c>
      <c r="F2" s="40" t="s">
        <v>2</v>
      </c>
      <c r="G2" s="40" t="s">
        <v>3</v>
      </c>
      <c r="H2" s="40" t="s">
        <v>4</v>
      </c>
      <c r="I2" s="40" t="s">
        <v>8</v>
      </c>
      <c r="J2" s="46" t="s">
        <v>9</v>
      </c>
      <c r="K2" s="47"/>
      <c r="L2" s="48"/>
      <c r="M2" s="46" t="s">
        <v>10</v>
      </c>
      <c r="N2" s="47"/>
      <c r="O2" s="47"/>
      <c r="P2" s="48"/>
      <c r="Q2" s="40" t="s">
        <v>11</v>
      </c>
      <c r="R2" s="37" t="s">
        <v>21</v>
      </c>
    </row>
    <row r="3" spans="1:18" ht="23.4" customHeight="1">
      <c r="A3" s="27"/>
      <c r="B3" s="50"/>
      <c r="C3" s="52"/>
      <c r="D3" s="43"/>
      <c r="E3" s="43"/>
      <c r="F3" s="45"/>
      <c r="G3" s="45"/>
      <c r="H3" s="45"/>
      <c r="I3" s="45"/>
      <c r="J3" s="40" t="s">
        <v>12</v>
      </c>
      <c r="K3" s="42" t="s">
        <v>13</v>
      </c>
      <c r="L3" s="40" t="s">
        <v>14</v>
      </c>
      <c r="M3" s="40" t="s">
        <v>15</v>
      </c>
      <c r="N3" s="40" t="s">
        <v>16</v>
      </c>
      <c r="O3" s="40" t="s">
        <v>17</v>
      </c>
      <c r="P3" s="40" t="s">
        <v>18</v>
      </c>
      <c r="Q3" s="45"/>
      <c r="R3" s="38"/>
    </row>
    <row r="4" spans="1:18" ht="24" hidden="1" customHeight="1">
      <c r="A4" s="24"/>
      <c r="B4" s="25" t="s">
        <v>25</v>
      </c>
      <c r="C4" s="53"/>
      <c r="D4" s="44"/>
      <c r="E4" s="44"/>
      <c r="F4" s="41"/>
      <c r="G4" s="41"/>
      <c r="H4" s="41"/>
      <c r="I4" s="41"/>
      <c r="J4" s="41"/>
      <c r="K4" s="44"/>
      <c r="L4" s="41"/>
      <c r="M4" s="41"/>
      <c r="N4" s="41"/>
      <c r="O4" s="41"/>
      <c r="P4" s="41"/>
      <c r="Q4" s="41"/>
      <c r="R4" s="39"/>
    </row>
    <row r="5" spans="1:18" s="7" customFormat="1" ht="13.2" customHeight="1">
      <c r="A5" s="16"/>
      <c r="B5" s="28" t="s">
        <v>26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30"/>
    </row>
    <row r="6" spans="1:18" s="9" customFormat="1" ht="19.2" customHeight="1">
      <c r="A6" s="16"/>
      <c r="B6" s="15" t="s">
        <v>27</v>
      </c>
      <c r="C6" s="2">
        <v>50</v>
      </c>
      <c r="D6" s="2">
        <v>0</v>
      </c>
      <c r="E6" s="2">
        <f>C6-D6</f>
        <v>50</v>
      </c>
      <c r="F6" s="2">
        <f>E6*12.6%</f>
        <v>6.3</v>
      </c>
      <c r="G6" s="2">
        <f>E6*3.3%</f>
        <v>1.6500000000000001</v>
      </c>
      <c r="H6" s="2">
        <f>E6*62.1%</f>
        <v>31.05</v>
      </c>
      <c r="I6" s="2">
        <f>E6*335%</f>
        <v>167.5</v>
      </c>
      <c r="J6" s="2">
        <f>E6*0.43%</f>
        <v>0.215</v>
      </c>
      <c r="K6" s="2">
        <v>0</v>
      </c>
      <c r="L6" s="2">
        <v>0</v>
      </c>
      <c r="M6" s="2">
        <f>E6*20%</f>
        <v>10</v>
      </c>
      <c r="N6" s="2">
        <f>E6*298%</f>
        <v>149</v>
      </c>
      <c r="O6" s="2">
        <f>E6*200%</f>
        <v>100</v>
      </c>
      <c r="P6" s="2">
        <f>E6*6.7%</f>
        <v>3.35</v>
      </c>
      <c r="Q6" s="2">
        <v>85</v>
      </c>
      <c r="R6" s="22">
        <f>C6/1000*85</f>
        <v>4.25</v>
      </c>
    </row>
    <row r="7" spans="1:18" s="8" customFormat="1" ht="22.2" customHeight="1">
      <c r="A7" s="16"/>
      <c r="B7" s="15" t="s">
        <v>23</v>
      </c>
      <c r="C7" s="2">
        <v>10</v>
      </c>
      <c r="D7" s="2">
        <v>0</v>
      </c>
      <c r="E7" s="2">
        <f>C7-D7</f>
        <v>10</v>
      </c>
      <c r="F7" s="2">
        <f>E7*0.5%</f>
        <v>0.05</v>
      </c>
      <c r="G7" s="2">
        <f>E7*82.5%</f>
        <v>8.25</v>
      </c>
      <c r="H7" s="2">
        <f>E7*0.8%</f>
        <v>0.08</v>
      </c>
      <c r="I7" s="2">
        <f>E7*748%</f>
        <v>74.800000000000011</v>
      </c>
      <c r="J7" s="2">
        <v>0</v>
      </c>
      <c r="K7" s="2">
        <v>0</v>
      </c>
      <c r="L7" s="2">
        <f>E7*0.59%</f>
        <v>5.8999999999999997E-2</v>
      </c>
      <c r="M7" s="2">
        <f>E7*12%</f>
        <v>1.2</v>
      </c>
      <c r="N7" s="2">
        <f>E7*19%</f>
        <v>1.9</v>
      </c>
      <c r="O7" s="2">
        <f>E7*0.4%</f>
        <v>0.04</v>
      </c>
      <c r="P7" s="2">
        <f>E7*0.2%</f>
        <v>0.02</v>
      </c>
      <c r="Q7" s="2">
        <v>480</v>
      </c>
      <c r="R7" s="22">
        <f>C7/1000*480</f>
        <v>4.8</v>
      </c>
    </row>
    <row r="8" spans="1:18" s="8" customFormat="1" ht="22.2" customHeight="1">
      <c r="A8" s="16"/>
      <c r="B8" s="16" t="s">
        <v>19</v>
      </c>
      <c r="C8" s="3">
        <f>C7+C6</f>
        <v>60</v>
      </c>
      <c r="D8" s="3">
        <v>0</v>
      </c>
      <c r="E8" s="3">
        <v>100</v>
      </c>
      <c r="F8" s="3">
        <f t="shared" ref="F8:P8" si="0">SUM(F6:F7)</f>
        <v>6.35</v>
      </c>
      <c r="G8" s="3">
        <f t="shared" si="0"/>
        <v>9.9</v>
      </c>
      <c r="H8" s="3">
        <f t="shared" si="0"/>
        <v>31.13</v>
      </c>
      <c r="I8" s="3">
        <f t="shared" si="0"/>
        <v>242.3</v>
      </c>
      <c r="J8" s="3">
        <f t="shared" si="0"/>
        <v>0.215</v>
      </c>
      <c r="K8" s="3">
        <f t="shared" si="0"/>
        <v>0</v>
      </c>
      <c r="L8" s="3">
        <f t="shared" si="0"/>
        <v>5.8999999999999997E-2</v>
      </c>
      <c r="M8" s="3">
        <f t="shared" si="0"/>
        <v>11.2</v>
      </c>
      <c r="N8" s="3">
        <f t="shared" si="0"/>
        <v>150.9</v>
      </c>
      <c r="O8" s="3">
        <f t="shared" si="0"/>
        <v>100.04</v>
      </c>
      <c r="P8" s="3">
        <f t="shared" si="0"/>
        <v>3.37</v>
      </c>
      <c r="Q8" s="3"/>
      <c r="R8" s="3">
        <f>SUM(R6:R7)</f>
        <v>9.0500000000000007</v>
      </c>
    </row>
    <row r="9" spans="1:18" s="10" customFormat="1" ht="22.2" customHeight="1">
      <c r="A9" s="4"/>
      <c r="B9" s="28" t="s">
        <v>28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</row>
    <row r="10" spans="1:18" s="7" customFormat="1" ht="18">
      <c r="A10" s="4"/>
      <c r="B10" s="15" t="s">
        <v>29</v>
      </c>
      <c r="C10" s="2">
        <v>95</v>
      </c>
      <c r="D10" s="2">
        <f>C10*25%</f>
        <v>23.75</v>
      </c>
      <c r="E10" s="2">
        <f>C10-D10</f>
        <v>71.25</v>
      </c>
      <c r="F10" s="2">
        <f>E10*18.2%</f>
        <v>12.967499999999999</v>
      </c>
      <c r="G10" s="2">
        <f>E10*18.4%</f>
        <v>13.11</v>
      </c>
      <c r="H10" s="2">
        <f>E10*0.7%</f>
        <v>0.49874999999999997</v>
      </c>
      <c r="I10" s="2">
        <f>E10*241%</f>
        <v>171.71250000000001</v>
      </c>
      <c r="J10" s="2">
        <f>E10*0.07%</f>
        <v>4.987500000000001E-2</v>
      </c>
      <c r="K10" s="2">
        <v>0</v>
      </c>
      <c r="L10" s="2">
        <f>E10*0.07%</f>
        <v>4.987500000000001E-2</v>
      </c>
      <c r="M10" s="2">
        <f>E10*16%</f>
        <v>11.4</v>
      </c>
      <c r="N10" s="2">
        <f>E10*165%</f>
        <v>117.5625</v>
      </c>
      <c r="O10" s="2">
        <f>E10*18%</f>
        <v>12.824999999999999</v>
      </c>
      <c r="P10" s="2">
        <f>E10*1.6%</f>
        <v>1.1400000000000001</v>
      </c>
      <c r="Q10" s="2">
        <v>270</v>
      </c>
      <c r="R10" s="2">
        <f>C10/1000*270</f>
        <v>25.65</v>
      </c>
    </row>
    <row r="11" spans="1:18" s="11" customFormat="1" ht="18.600000000000001" customHeight="1">
      <c r="A11" s="4"/>
      <c r="B11" s="5" t="s">
        <v>19</v>
      </c>
      <c r="C11" s="3">
        <f>SUM(C10:C10)</f>
        <v>95</v>
      </c>
      <c r="D11" s="3">
        <f>SUM(D10:D10)</f>
        <v>23.75</v>
      </c>
      <c r="E11" s="3">
        <f>E10-0</f>
        <v>71.25</v>
      </c>
      <c r="F11" s="3">
        <f t="shared" ref="F11:P11" si="1">SUM(F10:F10)</f>
        <v>12.967499999999999</v>
      </c>
      <c r="G11" s="3">
        <f t="shared" si="1"/>
        <v>13.11</v>
      </c>
      <c r="H11" s="3">
        <f t="shared" si="1"/>
        <v>0.49874999999999997</v>
      </c>
      <c r="I11" s="3">
        <f t="shared" si="1"/>
        <v>171.71250000000001</v>
      </c>
      <c r="J11" s="3">
        <f t="shared" si="1"/>
        <v>4.987500000000001E-2</v>
      </c>
      <c r="K11" s="3">
        <f t="shared" si="1"/>
        <v>0</v>
      </c>
      <c r="L11" s="3">
        <f t="shared" si="1"/>
        <v>4.987500000000001E-2</v>
      </c>
      <c r="M11" s="3">
        <f t="shared" si="1"/>
        <v>11.4</v>
      </c>
      <c r="N11" s="3">
        <f t="shared" si="1"/>
        <v>117.5625</v>
      </c>
      <c r="O11" s="3">
        <f t="shared" si="1"/>
        <v>12.824999999999999</v>
      </c>
      <c r="P11" s="3">
        <f t="shared" si="1"/>
        <v>1.1400000000000001</v>
      </c>
      <c r="Q11" s="3"/>
      <c r="R11" s="3">
        <f>SUM(R10:R10)</f>
        <v>25.65</v>
      </c>
    </row>
    <row r="12" spans="1:18" s="12" customFormat="1" ht="22.2" customHeight="1">
      <c r="A12" s="23"/>
      <c r="B12" s="31" t="s">
        <v>22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/>
    </row>
    <row r="13" spans="1:18" s="12" customFormat="1" ht="18">
      <c r="A13" s="6"/>
      <c r="B13" s="5" t="s">
        <v>19</v>
      </c>
      <c r="C13" s="3">
        <v>30</v>
      </c>
      <c r="D13" s="3">
        <v>0</v>
      </c>
      <c r="E13" s="3">
        <f>C13-D13</f>
        <v>30</v>
      </c>
      <c r="F13" s="3">
        <f>E13*7.9%</f>
        <v>2.37</v>
      </c>
      <c r="G13" s="3">
        <f>E13*1%</f>
        <v>0.3</v>
      </c>
      <c r="H13" s="3">
        <f>E13*48.1%</f>
        <v>14.430000000000001</v>
      </c>
      <c r="I13" s="3">
        <f>E13*239%</f>
        <v>71.7</v>
      </c>
      <c r="J13" s="3">
        <f>E13*0.16%</f>
        <v>4.8000000000000001E-2</v>
      </c>
      <c r="K13" s="3">
        <v>0</v>
      </c>
      <c r="L13" s="3">
        <v>0</v>
      </c>
      <c r="M13" s="3">
        <f>E13*23%</f>
        <v>6.9</v>
      </c>
      <c r="N13" s="3">
        <f>E13*87%</f>
        <v>26.1</v>
      </c>
      <c r="O13" s="3">
        <f>E13*33%</f>
        <v>9.9</v>
      </c>
      <c r="P13" s="3">
        <f>E13*2%</f>
        <v>0.6</v>
      </c>
      <c r="Q13" s="3">
        <v>50</v>
      </c>
      <c r="R13" s="3">
        <f>C13/1000*50</f>
        <v>1.5</v>
      </c>
    </row>
    <row r="14" spans="1:18" s="12" customFormat="1" ht="18">
      <c r="A14" s="6"/>
      <c r="B14" s="31" t="s">
        <v>35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/>
    </row>
    <row r="15" spans="1:18" s="12" customFormat="1" ht="18">
      <c r="A15" s="6"/>
      <c r="B15" s="15" t="s">
        <v>36</v>
      </c>
      <c r="C15" s="2">
        <v>30</v>
      </c>
      <c r="D15" s="2">
        <f>C15*0.25</f>
        <v>7.5</v>
      </c>
      <c r="E15" s="2">
        <f>C15-D15</f>
        <v>22.5</v>
      </c>
      <c r="F15" s="2">
        <f>E15*2%</f>
        <v>0.45</v>
      </c>
      <c r="G15" s="2">
        <f>E15*0.4%</f>
        <v>0.09</v>
      </c>
      <c r="H15" s="2">
        <f>E15*16.3%</f>
        <v>3.6675</v>
      </c>
      <c r="I15" s="2">
        <f>E15*80%</f>
        <v>18</v>
      </c>
      <c r="J15" s="2">
        <f>E15*0.12%</f>
        <v>2.6999999999999996E-2</v>
      </c>
      <c r="K15" s="2">
        <f>E15*20%</f>
        <v>4.5</v>
      </c>
      <c r="L15" s="2">
        <v>0</v>
      </c>
      <c r="M15" s="2">
        <f>E15*10%</f>
        <v>2.25</v>
      </c>
      <c r="N15" s="2">
        <f>E15*58%</f>
        <v>13.049999999999999</v>
      </c>
      <c r="O15" s="2">
        <f>E15*23%</f>
        <v>5.1749999999999998</v>
      </c>
      <c r="P15" s="2">
        <f>E15*0.9%</f>
        <v>0.20250000000000001</v>
      </c>
      <c r="Q15" s="2">
        <v>57</v>
      </c>
      <c r="R15" s="2">
        <f>C15/1000*57</f>
        <v>1.71</v>
      </c>
    </row>
    <row r="16" spans="1:18" s="12" customFormat="1" ht="18">
      <c r="A16" s="6"/>
      <c r="B16" s="15" t="s">
        <v>31</v>
      </c>
      <c r="C16" s="2">
        <v>30</v>
      </c>
      <c r="D16" s="2">
        <f>C16*0.2</f>
        <v>6</v>
      </c>
      <c r="E16" s="2">
        <f>C16-D16</f>
        <v>24</v>
      </c>
      <c r="F16" s="2">
        <f>E16*1.3%</f>
        <v>0.31200000000000006</v>
      </c>
      <c r="G16" s="54">
        <f>E16*0.001</f>
        <v>2.4E-2</v>
      </c>
      <c r="H16" s="2">
        <f>E16*0.072</f>
        <v>1.7279999999999998</v>
      </c>
      <c r="I16" s="2">
        <f>E16*0.3</f>
        <v>7.1999999999999993</v>
      </c>
      <c r="J16" s="2">
        <f>E16*0.06%</f>
        <v>1.44E-2</v>
      </c>
      <c r="K16" s="2">
        <f>E16*5%</f>
        <v>1.2000000000000002</v>
      </c>
      <c r="L16" s="2">
        <v>0</v>
      </c>
      <c r="M16" s="2">
        <f>E16*51%</f>
        <v>12.24</v>
      </c>
      <c r="N16" s="2">
        <f>E16*55%</f>
        <v>13.200000000000001</v>
      </c>
      <c r="O16" s="2">
        <f>E16*38%</f>
        <v>9.120000000000001</v>
      </c>
      <c r="P16" s="2">
        <f>E16*0.7%</f>
        <v>0.16799999999999998</v>
      </c>
      <c r="Q16" s="2">
        <v>60</v>
      </c>
      <c r="R16" s="15">
        <f>C16/1000*60</f>
        <v>1.7999999999999998</v>
      </c>
    </row>
    <row r="17" spans="1:18" s="12" customFormat="1" ht="18">
      <c r="A17" s="6"/>
      <c r="B17" s="55" t="s">
        <v>32</v>
      </c>
      <c r="C17" s="2">
        <v>30</v>
      </c>
      <c r="D17" s="2">
        <f>C17*0.2</f>
        <v>6</v>
      </c>
      <c r="E17" s="2">
        <f>C17-D17</f>
        <v>24</v>
      </c>
      <c r="F17" s="2">
        <f>E17*0.015</f>
        <v>0.36</v>
      </c>
      <c r="G17" s="2">
        <f>E17*0.001</f>
        <v>2.4E-2</v>
      </c>
      <c r="H17" s="2">
        <f>E17*0.091</f>
        <v>2.1840000000000002</v>
      </c>
      <c r="I17" s="2">
        <f>E17*0.42</f>
        <v>10.08</v>
      </c>
      <c r="J17" s="2">
        <f>E17*0.02%</f>
        <v>4.8000000000000004E-3</v>
      </c>
      <c r="K17" s="2">
        <f>E17*10%</f>
        <v>2.4000000000000004</v>
      </c>
      <c r="L17" s="2">
        <v>0</v>
      </c>
      <c r="M17" s="2">
        <f>E17*37%</f>
        <v>8.879999999999999</v>
      </c>
      <c r="N17" s="2">
        <f>E17*43%</f>
        <v>10.32</v>
      </c>
      <c r="O17" s="2">
        <f>E17*22%</f>
        <v>5.28</v>
      </c>
      <c r="P17" s="2">
        <f>E17*1.4%</f>
        <v>0.33599999999999997</v>
      </c>
      <c r="Q17" s="2">
        <v>60</v>
      </c>
      <c r="R17" s="2">
        <f>C17/1000*60</f>
        <v>1.7999999999999998</v>
      </c>
    </row>
    <row r="18" spans="1:18" s="12" customFormat="1" ht="25.2" customHeight="1">
      <c r="A18" s="56"/>
      <c r="B18" s="55" t="s">
        <v>33</v>
      </c>
      <c r="C18" s="57">
        <v>10</v>
      </c>
      <c r="D18" s="57">
        <v>0</v>
      </c>
      <c r="E18" s="57">
        <f>C18-D18</f>
        <v>10</v>
      </c>
      <c r="F18" s="57">
        <v>0</v>
      </c>
      <c r="G18" s="58">
        <f>E18*0.999</f>
        <v>9.99</v>
      </c>
      <c r="H18" s="57">
        <v>0</v>
      </c>
      <c r="I18" s="57">
        <f>E18*8.99</f>
        <v>89.9</v>
      </c>
      <c r="J18" s="57">
        <f>E18*0.06%</f>
        <v>5.9999999999999993E-3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v>180</v>
      </c>
      <c r="R18" s="57">
        <f>C18/1000*180</f>
        <v>1.8</v>
      </c>
    </row>
    <row r="19" spans="1:18" s="12" customFormat="1" ht="31.2">
      <c r="A19" s="6"/>
      <c r="B19" s="55" t="s">
        <v>34</v>
      </c>
      <c r="C19" s="2">
        <v>7</v>
      </c>
      <c r="D19" s="2">
        <v>0</v>
      </c>
      <c r="E19" s="2">
        <f>C19-D19</f>
        <v>7</v>
      </c>
      <c r="F19" s="2">
        <v>0</v>
      </c>
      <c r="G19" s="54">
        <f>E19*0.999</f>
        <v>6.9930000000000003</v>
      </c>
      <c r="H19" s="2">
        <v>0</v>
      </c>
      <c r="I19" s="2">
        <f>E19*8.99</f>
        <v>62.93</v>
      </c>
      <c r="J19" s="2">
        <f>E19*0.06%</f>
        <v>4.1999999999999997E-3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150</v>
      </c>
      <c r="R19" s="2">
        <f>C19/1000*150</f>
        <v>1.05</v>
      </c>
    </row>
    <row r="20" spans="1:18" s="13" customFormat="1" ht="16.8" customHeight="1">
      <c r="A20" s="6"/>
      <c r="B20" s="59" t="s">
        <v>19</v>
      </c>
      <c r="C20" s="3">
        <f t="shared" ref="C20:P20" si="2">SUM(C15:C19)</f>
        <v>107</v>
      </c>
      <c r="D20" s="3">
        <f t="shared" si="2"/>
        <v>19.5</v>
      </c>
      <c r="E20" s="3">
        <f t="shared" si="2"/>
        <v>87.5</v>
      </c>
      <c r="F20" s="3">
        <f t="shared" si="2"/>
        <v>1.1219999999999999</v>
      </c>
      <c r="G20" s="3">
        <f t="shared" si="2"/>
        <v>17.121000000000002</v>
      </c>
      <c r="H20" s="3">
        <f t="shared" si="2"/>
        <v>7.5795000000000003</v>
      </c>
      <c r="I20" s="3">
        <f t="shared" si="2"/>
        <v>188.11</v>
      </c>
      <c r="J20" s="3">
        <f t="shared" si="2"/>
        <v>5.6399999999999992E-2</v>
      </c>
      <c r="K20" s="3">
        <f t="shared" si="2"/>
        <v>8.1000000000000014</v>
      </c>
      <c r="L20" s="3">
        <f t="shared" si="2"/>
        <v>0</v>
      </c>
      <c r="M20" s="3">
        <f t="shared" si="2"/>
        <v>23.369999999999997</v>
      </c>
      <c r="N20" s="3">
        <f t="shared" si="2"/>
        <v>36.57</v>
      </c>
      <c r="O20" s="3">
        <f t="shared" si="2"/>
        <v>19.575000000000003</v>
      </c>
      <c r="P20" s="3">
        <f t="shared" si="2"/>
        <v>0.70649999999999991</v>
      </c>
      <c r="Q20" s="3"/>
      <c r="R20" s="3">
        <f t="shared" ref="R20" si="3">SUM(R15:R19)</f>
        <v>8.16</v>
      </c>
    </row>
    <row r="21" spans="1:18" s="14" customFormat="1" ht="14.4" customHeight="1">
      <c r="A21" s="6"/>
      <c r="B21" s="31" t="s">
        <v>37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</row>
    <row r="22" spans="1:18" s="7" customFormat="1" ht="18">
      <c r="A22" s="6"/>
      <c r="B22" s="5" t="s">
        <v>19</v>
      </c>
      <c r="C22" s="3">
        <v>155</v>
      </c>
      <c r="D22" s="3">
        <v>0</v>
      </c>
      <c r="E22" s="3">
        <f>C22-D22</f>
        <v>155</v>
      </c>
      <c r="F22" s="3">
        <f>E22*0.6%</f>
        <v>0.93</v>
      </c>
      <c r="G22" s="3">
        <f>E22*0.2%</f>
        <v>0.31</v>
      </c>
      <c r="H22" s="3">
        <f>E22*15%</f>
        <v>23.25</v>
      </c>
      <c r="I22" s="3">
        <f>E22*65%</f>
        <v>100.75</v>
      </c>
      <c r="J22" s="3">
        <f>E22*0.05%</f>
        <v>7.7499999999999999E-2</v>
      </c>
      <c r="K22" s="3">
        <f>E22*6%</f>
        <v>9.2999999999999989</v>
      </c>
      <c r="L22" s="3">
        <v>0</v>
      </c>
      <c r="M22" s="3">
        <f>E22*45%</f>
        <v>69.75</v>
      </c>
      <c r="N22" s="3">
        <f>E22*22%</f>
        <v>34.1</v>
      </c>
      <c r="O22" s="3">
        <f>E22*17%</f>
        <v>26.35</v>
      </c>
      <c r="P22" s="3">
        <f>E22*0.6%</f>
        <v>0.93</v>
      </c>
      <c r="Q22" s="3">
        <v>60</v>
      </c>
      <c r="R22" s="3">
        <f>C22/1000*60</f>
        <v>9.3000000000000007</v>
      </c>
    </row>
    <row r="23" spans="1:18" s="14" customFormat="1" ht="18">
      <c r="A23" s="4"/>
      <c r="B23" s="34" t="s">
        <v>30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1:18" s="14" customFormat="1" ht="18">
      <c r="A24" s="4"/>
      <c r="B24" s="5" t="s">
        <v>19</v>
      </c>
      <c r="C24" s="17">
        <v>3</v>
      </c>
      <c r="D24" s="3">
        <v>0</v>
      </c>
      <c r="E24" s="17">
        <f>C24-D24</f>
        <v>3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20</v>
      </c>
      <c r="R24" s="17">
        <f>C24/1000*20</f>
        <v>0.06</v>
      </c>
    </row>
    <row r="25" spans="1:18" s="14" customFormat="1" ht="12.6" customHeight="1">
      <c r="A25" s="4"/>
      <c r="B25" s="5"/>
      <c r="C25" s="17"/>
      <c r="D25" s="3"/>
      <c r="E25" s="17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17"/>
    </row>
    <row r="26" spans="1:18" ht="23.4">
      <c r="A26" s="4"/>
      <c r="B26" s="18" t="s">
        <v>19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>
        <v>61</v>
      </c>
    </row>
  </sheetData>
  <mergeCells count="26">
    <mergeCell ref="B21:R21"/>
    <mergeCell ref="B23:R23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  <mergeCell ref="L3:L4"/>
    <mergeCell ref="M3:M4"/>
    <mergeCell ref="A2:A3"/>
    <mergeCell ref="B9:R9"/>
    <mergeCell ref="B12:R12"/>
    <mergeCell ref="B14:R14"/>
    <mergeCell ref="N3:N4"/>
    <mergeCell ref="M2:P2"/>
    <mergeCell ref="F2:F4"/>
    <mergeCell ref="B2:B3"/>
    <mergeCell ref="C2:C4"/>
    <mergeCell ref="J2:L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2022-01-21T16:45:41Z</dcterms:modified>
</cp:coreProperties>
</file>