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0" i="1"/>
  <c r="P20"/>
  <c r="O20"/>
  <c r="N20"/>
  <c r="M20"/>
  <c r="L20"/>
  <c r="K20"/>
  <c r="J20"/>
  <c r="I20"/>
  <c r="H20"/>
  <c r="G20"/>
  <c r="F20"/>
  <c r="C20"/>
  <c r="D19"/>
  <c r="D20" s="1"/>
  <c r="E22"/>
  <c r="G22" s="1"/>
  <c r="I22"/>
  <c r="R22"/>
  <c r="L16"/>
  <c r="D16"/>
  <c r="C16"/>
  <c r="G15"/>
  <c r="E15"/>
  <c r="J15" s="1"/>
  <c r="G14"/>
  <c r="E14"/>
  <c r="J14" s="1"/>
  <c r="E13"/>
  <c r="P13" s="1"/>
  <c r="D13"/>
  <c r="R12"/>
  <c r="R16" s="1"/>
  <c r="O12"/>
  <c r="J12"/>
  <c r="F12"/>
  <c r="E12"/>
  <c r="M12" s="1"/>
  <c r="D12"/>
  <c r="O11"/>
  <c r="J11"/>
  <c r="F11"/>
  <c r="E11"/>
  <c r="M11" s="1"/>
  <c r="D11"/>
  <c r="R24"/>
  <c r="E24"/>
  <c r="K9"/>
  <c r="R8"/>
  <c r="P8"/>
  <c r="G8"/>
  <c r="F8"/>
  <c r="E8"/>
  <c r="O8" s="1"/>
  <c r="R7"/>
  <c r="P7"/>
  <c r="P9" s="1"/>
  <c r="J7"/>
  <c r="J9" s="1"/>
  <c r="F7"/>
  <c r="E7"/>
  <c r="N7" s="1"/>
  <c r="R6"/>
  <c r="O6"/>
  <c r="N6"/>
  <c r="J6"/>
  <c r="G6"/>
  <c r="F6"/>
  <c r="E6"/>
  <c r="M6" s="1"/>
  <c r="H22" l="1"/>
  <c r="F22"/>
  <c r="F16"/>
  <c r="N12"/>
  <c r="M13"/>
  <c r="M16" s="1"/>
  <c r="G11"/>
  <c r="K11"/>
  <c r="P11"/>
  <c r="P16" s="1"/>
  <c r="G12"/>
  <c r="K12"/>
  <c r="P12"/>
  <c r="F13"/>
  <c r="J13"/>
  <c r="J16" s="1"/>
  <c r="O13"/>
  <c r="O16" s="1"/>
  <c r="I14"/>
  <c r="I15"/>
  <c r="E16"/>
  <c r="I13"/>
  <c r="N13"/>
  <c r="I11"/>
  <c r="N11"/>
  <c r="N16" s="1"/>
  <c r="I12"/>
  <c r="H13"/>
  <c r="H11"/>
  <c r="H12"/>
  <c r="G13"/>
  <c r="K13"/>
  <c r="R9"/>
  <c r="F9"/>
  <c r="M8"/>
  <c r="K6"/>
  <c r="L8"/>
  <c r="L9" s="1"/>
  <c r="O7"/>
  <c r="O9" s="1"/>
  <c r="H6"/>
  <c r="L6"/>
  <c r="P6"/>
  <c r="G7"/>
  <c r="G9" s="1"/>
  <c r="M7"/>
  <c r="M9" s="1"/>
  <c r="H8"/>
  <c r="N8"/>
  <c r="N9" s="1"/>
  <c r="I7"/>
  <c r="I6"/>
  <c r="H7"/>
  <c r="H9" s="1"/>
  <c r="I8"/>
  <c r="H16" l="1"/>
  <c r="I16"/>
  <c r="G16"/>
  <c r="K16"/>
  <c r="I9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<sst xmlns="http://schemas.openxmlformats.org/spreadsheetml/2006/main" count="42" uniqueCount="38">
  <si>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</si>
  <si>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</si>
  <si>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</si>
  <si>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</si>
  <si>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</si>
  <si>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</si>
  <si>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</si>
  <si>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</si>
  <si>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</si>
  <si>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</si>
  <si>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</si>
  <si>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</si>
  <si>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</si>
  <si>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</si>
  <si>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</si>
  <si>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</si>
  <si>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</si>
  <si>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</si>
  <si>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</si>
  <si>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</si>
  <si>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</si>
  <si>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>сумма</t>
  </si>
  <si>
    <t>всего грамм</t>
  </si>
  <si>
    <t>молоко</t>
  </si>
  <si>
    <t>рис</t>
  </si>
  <si>
    <t>масло сливочное</t>
  </si>
  <si>
    <t>соль</t>
  </si>
  <si>
    <t>капуста</t>
  </si>
  <si>
    <t>морковь</t>
  </si>
  <si>
    <t xml:space="preserve">лук </t>
  </si>
  <si>
    <t>зел.горох</t>
  </si>
  <si>
    <t>растит. масло</t>
  </si>
  <si>
    <t xml:space="preserve">     2.салат овощной</t>
  </si>
  <si>
    <t>4.сок натуральный</t>
  </si>
  <si>
    <t>5.яблоки</t>
  </si>
  <si>
    <t>6.соль</t>
  </si>
  <si>
    <t xml:space="preserve">1.каша рисовая молочная </t>
  </si>
  <si>
    <t>18.12.2022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</si>
</sst>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0" fontId="14" fillId="0" borderId="0" xfId="0" applyFont="1"/>
    <xf numFmtId="0" fontId="3" fillId="2" borderId="2" xfId="0" applyFont="1" applyFill="1" applyBorder="1" applyAlignment="1"/>
    <xf numFmtId="0" fontId="8" fillId="0" borderId="2" xfId="1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Border="1"/>
    <xf numFmtId="2" fontId="7" fillId="0" borderId="1" xfId="0" applyNumberFormat="1" applyFont="1" applyBorder="1"/>
    <xf numFmtId="164" fontId="0" fillId="0" borderId="1" xfId="0" applyNumberFormat="1" applyBorder="1"/>
    <xf numFmtId="0" fontId="22" fillId="2" borderId="1" xfId="1" applyNumberFormat="1" applyFont="1" applyFill="1" applyBorder="1" applyAlignment="1" applyProtection="1">
      <alignment vertical="center" wrapText="1"/>
    </xf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9" fillId="0" borderId="1" xfId="1" applyNumberFormat="1" applyFont="1" applyFill="1" applyBorder="1" applyAlignment="1" applyProtection="1">
      <alignment horizontal="left" vertical="top" wrapText="1"/>
    </xf>
    <xf numFmtId="1" fontId="7" fillId="0" borderId="1" xfId="0" applyNumberFormat="1" applyFont="1" applyBorder="1"/>
    <xf numFmtId="14" fontId="24" fillId="0" borderId="1" xfId="0" applyNumberFormat="1" applyFont="1" applyBorder="1"/>
    <xf numFmtId="0" fontId="23" fillId="0" borderId="1" xfId="0" applyFont="1" applyBorder="1"/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16" fillId="2" borderId="6" xfId="1" applyNumberFormat="1" applyFont="1" applyFill="1" applyBorder="1" applyAlignment="1" applyProtection="1">
      <alignment horizontal="center" vertical="top" wrapText="1"/>
    </xf>
    <xf numFmtId="0" fontId="18" fillId="0" borderId="1" xfId="1" applyNumberFormat="1" applyFont="1" applyFill="1" applyBorder="1" applyAlignment="1" applyProtection="1">
      <alignment horizontal="center" vertical="center"/>
    </xf>
    <xf numFmtId="0" fontId="9" fillId="0" borderId="3" xfId="1" applyNumberFormat="1" applyFont="1" applyFill="1" applyBorder="1" applyAlignment="1" applyProtection="1">
      <alignment horizontal="center" vertical="top" wrapText="1"/>
    </xf>
    <xf numFmtId="0" fontId="9" fillId="0" borderId="4" xfId="1" applyNumberFormat="1" applyFont="1" applyFill="1" applyBorder="1" applyAlignment="1" applyProtection="1">
      <alignment horizontal="center" vertical="top" wrapText="1"/>
    </xf>
    <xf numFmtId="0" fontId="9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8" fillId="0" borderId="2" xfId="1" applyNumberFormat="1" applyFont="1" applyFill="1" applyBorder="1" applyAlignment="1" applyProtection="1">
      <alignment horizontal="center" vertical="center"/>
    </xf>
    <xf numFmtId="0" fontId="18" fillId="0" borderId="6" xfId="1" applyNumberFormat="1" applyFont="1" applyFill="1" applyBorder="1" applyAlignment="1" applyProtection="1">
      <alignment horizontal="center" vertical="center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7" xfId="1" applyNumberFormat="1" applyFont="1" applyFill="1" applyBorder="1" applyAlignment="1" applyProtection="1">
      <alignment horizontal="center" vertical="top"/>
    </xf>
    <xf numFmtId="0" fontId="17" fillId="2" borderId="6" xfId="1" applyNumberFormat="1" applyFont="1" applyFill="1" applyBorder="1" applyAlignment="1" applyProtection="1">
      <alignment horizontal="center" vertical="top"/>
    </xf>
    <xf numFmtId="0" fontId="18" fillId="0" borderId="7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18" fillId="2" borderId="2" xfId="1" applyNumberFormat="1" applyFont="1" applyFill="1" applyBorder="1" applyAlignment="1" applyProtection="1">
      <alignment horizontal="center" vertical="center"/>
    </xf>
    <xf numFmtId="0" fontId="18" fillId="2" borderId="6" xfId="1" applyNumberFormat="1" applyFont="1" applyFill="1" applyBorder="1" applyAlignment="1" applyProtection="1">
      <alignment horizontal="center" vertical="center"/>
    </xf>
    <xf numFmtId="0" fontId="20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20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1" fillId="0" borderId="1" xfId="1" applyNumberFormat="1" applyFont="1" applyFill="1" applyBorder="1" applyAlignment="1" applyProtection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/>
    </xf>
    <xf numFmtId="2" fontId="20" fillId="0" borderId="4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abSelected="1" workbookViewId="0">
      <selection activeCell="J1" sqref="J1"/>
    </sheetView>
  </sheetViews>
  <sheetFormatPr defaultRowHeight="14.4"/>
  <cols>
    <col min="1" max="1" width="6.5546875" customWidth="1"/>
    <col min="2" max="2" width="13.77734375" customWidth="1"/>
    <col min="3" max="3" width="7.44140625" customWidth="1"/>
    <col min="4" max="4" width="6.88671875" customWidth="1"/>
    <col min="5" max="5" width="6.664062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32" t="s">
        <v>20</v>
      </c>
      <c r="C1" s="18"/>
      <c r="D1" s="18"/>
      <c r="E1" s="18"/>
      <c r="F1" s="18"/>
      <c r="G1" s="18"/>
      <c r="H1" s="18"/>
      <c r="I1" s="18" t="s">
        <v>1</v>
      </c>
      <c r="J1" s="31" t="s">
        <v>37</v>
      </c>
      <c r="K1" s="19"/>
      <c r="L1" s="19"/>
      <c r="M1" s="19"/>
      <c r="N1" s="19"/>
      <c r="O1" s="19"/>
      <c r="P1" s="19"/>
      <c r="Q1" s="19"/>
      <c r="R1" s="19"/>
    </row>
    <row r="2" spans="1:18" ht="33" customHeight="1">
      <c r="A2" s="33"/>
      <c r="B2" s="65" t="s">
        <v>5</v>
      </c>
      <c r="C2" s="35" t="s">
        <v>22</v>
      </c>
      <c r="D2" s="47" t="s">
        <v>6</v>
      </c>
      <c r="E2" s="47" t="s">
        <v>7</v>
      </c>
      <c r="F2" s="45" t="s">
        <v>2</v>
      </c>
      <c r="G2" s="45" t="s">
        <v>3</v>
      </c>
      <c r="H2" s="45" t="s">
        <v>4</v>
      </c>
      <c r="I2" s="45" t="s">
        <v>8</v>
      </c>
      <c r="J2" s="38" t="s">
        <v>9</v>
      </c>
      <c r="K2" s="38"/>
      <c r="L2" s="38"/>
      <c r="M2" s="38" t="s">
        <v>10</v>
      </c>
      <c r="N2" s="38"/>
      <c r="O2" s="38"/>
      <c r="P2" s="38"/>
      <c r="Q2" s="51" t="s">
        <v>11</v>
      </c>
      <c r="R2" s="42" t="s">
        <v>21</v>
      </c>
    </row>
    <row r="3" spans="1:18" ht="24" customHeight="1">
      <c r="A3" s="34"/>
      <c r="B3" s="66"/>
      <c r="C3" s="36"/>
      <c r="D3" s="48"/>
      <c r="E3" s="48"/>
      <c r="F3" s="50"/>
      <c r="G3" s="50"/>
      <c r="H3" s="50"/>
      <c r="I3" s="50"/>
      <c r="J3" s="45" t="s">
        <v>12</v>
      </c>
      <c r="K3" s="54" t="s">
        <v>13</v>
      </c>
      <c r="L3" s="45" t="s">
        <v>14</v>
      </c>
      <c r="M3" s="45" t="s">
        <v>15</v>
      </c>
      <c r="N3" s="45" t="s">
        <v>16</v>
      </c>
      <c r="O3" s="45" t="s">
        <v>17</v>
      </c>
      <c r="P3" s="45" t="s">
        <v>18</v>
      </c>
      <c r="Q3" s="52"/>
      <c r="R3" s="43"/>
    </row>
    <row r="4" spans="1:18" ht="24" customHeight="1">
      <c r="A4" s="20"/>
      <c r="B4" s="21"/>
      <c r="C4" s="37"/>
      <c r="D4" s="49"/>
      <c r="E4" s="49"/>
      <c r="F4" s="46"/>
      <c r="G4" s="46"/>
      <c r="H4" s="46"/>
      <c r="I4" s="46"/>
      <c r="J4" s="46"/>
      <c r="K4" s="55"/>
      <c r="L4" s="46"/>
      <c r="M4" s="46"/>
      <c r="N4" s="46"/>
      <c r="O4" s="46"/>
      <c r="P4" s="46"/>
      <c r="Q4" s="53"/>
      <c r="R4" s="44"/>
    </row>
    <row r="5" spans="1:18" s="6" customFormat="1" ht="19.2" customHeight="1">
      <c r="A5" s="15"/>
      <c r="B5" s="39" t="s">
        <v>36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1"/>
    </row>
    <row r="6" spans="1:18" s="7" customFormat="1" ht="22.5" customHeight="1">
      <c r="A6" s="15"/>
      <c r="B6" s="14" t="s">
        <v>23</v>
      </c>
      <c r="C6" s="2">
        <v>60</v>
      </c>
      <c r="D6" s="2">
        <v>0</v>
      </c>
      <c r="E6" s="2">
        <f>C6-D6</f>
        <v>60</v>
      </c>
      <c r="F6" s="2">
        <f>E6*2.8%</f>
        <v>1.6799999999999997</v>
      </c>
      <c r="G6" s="2">
        <f>E6*3.2%</f>
        <v>1.92</v>
      </c>
      <c r="H6" s="2">
        <f>E6*4.7%</f>
        <v>2.82</v>
      </c>
      <c r="I6" s="2">
        <f>E6*58%</f>
        <v>34.799999999999997</v>
      </c>
      <c r="J6" s="2">
        <f>E6*0.04</f>
        <v>2.4</v>
      </c>
      <c r="K6" s="2">
        <f>E6*1.3%</f>
        <v>0.78</v>
      </c>
      <c r="L6" s="2">
        <f>E6*0.01%</f>
        <v>6.0000000000000001E-3</v>
      </c>
      <c r="M6" s="2">
        <f>E6*120%</f>
        <v>72</v>
      </c>
      <c r="N6" s="2">
        <f>E6*90%</f>
        <v>54</v>
      </c>
      <c r="O6" s="2">
        <f>E6*14%</f>
        <v>8.4</v>
      </c>
      <c r="P6" s="2">
        <f>E6*0.06%</f>
        <v>3.5999999999999997E-2</v>
      </c>
      <c r="Q6" s="2">
        <v>110</v>
      </c>
      <c r="R6" s="22">
        <f>C6/1000*110</f>
        <v>6.6</v>
      </c>
    </row>
    <row r="7" spans="1:18" s="8" customFormat="1" ht="19.5" customHeight="1">
      <c r="A7" s="15"/>
      <c r="B7" s="14" t="s">
        <v>24</v>
      </c>
      <c r="C7" s="2">
        <v>46</v>
      </c>
      <c r="D7" s="2">
        <v>0</v>
      </c>
      <c r="E7" s="2">
        <f>SUM(C7:D7)</f>
        <v>46</v>
      </c>
      <c r="F7" s="2">
        <f>E7*7%</f>
        <v>3.22</v>
      </c>
      <c r="G7" s="2">
        <f>E7*1%</f>
        <v>0.46</v>
      </c>
      <c r="H7" s="2">
        <f>E7*71.4%</f>
        <v>32.844000000000001</v>
      </c>
      <c r="I7" s="2">
        <f>E7*330%</f>
        <v>151.79999999999998</v>
      </c>
      <c r="J7" s="2">
        <f>E7*0.08%</f>
        <v>3.6799999999999999E-2</v>
      </c>
      <c r="K7" s="2">
        <v>0</v>
      </c>
      <c r="L7" s="2">
        <v>0</v>
      </c>
      <c r="M7" s="2">
        <f>E7*8%</f>
        <v>3.68</v>
      </c>
      <c r="N7" s="2">
        <f>E7*150%</f>
        <v>69</v>
      </c>
      <c r="O7" s="2">
        <f>E7*50%</f>
        <v>23</v>
      </c>
      <c r="P7" s="2">
        <f>E7*1%</f>
        <v>0.46</v>
      </c>
      <c r="Q7" s="2">
        <v>75</v>
      </c>
      <c r="R7" s="2">
        <f>C7/1000*75</f>
        <v>3.4499999999999997</v>
      </c>
    </row>
    <row r="8" spans="1:18" s="7" customFormat="1" ht="22.5" customHeight="1">
      <c r="A8" s="15"/>
      <c r="B8" s="14" t="s">
        <v>25</v>
      </c>
      <c r="C8" s="2">
        <v>15</v>
      </c>
      <c r="D8" s="2">
        <v>0</v>
      </c>
      <c r="E8" s="2">
        <f>C8-D8</f>
        <v>15</v>
      </c>
      <c r="F8" s="2">
        <f>E8*0.5%</f>
        <v>7.4999999999999997E-2</v>
      </c>
      <c r="G8" s="2">
        <f>E8*82.5%</f>
        <v>12.375</v>
      </c>
      <c r="H8" s="2">
        <f>E8*0.8%</f>
        <v>0.12</v>
      </c>
      <c r="I8" s="2">
        <f>E8*748%</f>
        <v>112.2</v>
      </c>
      <c r="J8" s="2">
        <v>0</v>
      </c>
      <c r="K8" s="2">
        <v>0</v>
      </c>
      <c r="L8" s="2">
        <f>E8*0.59%</f>
        <v>8.8499999999999995E-2</v>
      </c>
      <c r="M8" s="2">
        <f>E8*12%</f>
        <v>1.7999999999999998</v>
      </c>
      <c r="N8" s="2">
        <f>E8*19%</f>
        <v>2.85</v>
      </c>
      <c r="O8" s="2">
        <f>E8*0.4%</f>
        <v>0.06</v>
      </c>
      <c r="P8" s="2">
        <f>E8*0.2%</f>
        <v>0.03</v>
      </c>
      <c r="Q8" s="2">
        <v>480</v>
      </c>
      <c r="R8" s="22">
        <f>C8/1000*480</f>
        <v>7.1999999999999993</v>
      </c>
    </row>
    <row r="9" spans="1:18" s="7" customFormat="1" ht="22.5" customHeight="1">
      <c r="A9" s="15"/>
      <c r="B9" s="15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3.2950000000000004</v>
      </c>
      <c r="G9" s="3">
        <f t="shared" si="0"/>
        <v>12.835000000000001</v>
      </c>
      <c r="H9" s="3">
        <f t="shared" si="0"/>
        <v>32.963999999999999</v>
      </c>
      <c r="I9" s="3">
        <f t="shared" si="0"/>
        <v>264</v>
      </c>
      <c r="J9" s="3">
        <f t="shared" si="0"/>
        <v>3.6799999999999999E-2</v>
      </c>
      <c r="K9" s="3">
        <f t="shared" si="0"/>
        <v>0</v>
      </c>
      <c r="L9" s="3">
        <f t="shared" si="0"/>
        <v>8.8499999999999995E-2</v>
      </c>
      <c r="M9" s="3">
        <f t="shared" si="0"/>
        <v>5.48</v>
      </c>
      <c r="N9" s="3">
        <f t="shared" si="0"/>
        <v>71.849999999999994</v>
      </c>
      <c r="O9" s="3">
        <f t="shared" si="0"/>
        <v>23.06</v>
      </c>
      <c r="P9" s="3">
        <f t="shared" si="0"/>
        <v>0.49</v>
      </c>
      <c r="Q9" s="3"/>
      <c r="R9" s="3">
        <f>SUM(R6:R8)</f>
        <v>17.25</v>
      </c>
    </row>
    <row r="10" spans="1:18" s="9" customFormat="1" ht="22.2" customHeight="1">
      <c r="A10" s="15"/>
      <c r="B10" s="56" t="s">
        <v>32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8"/>
    </row>
    <row r="11" spans="1:18" s="6" customFormat="1" ht="18">
      <c r="A11" s="5"/>
      <c r="B11" s="14" t="s">
        <v>27</v>
      </c>
      <c r="C11" s="2">
        <v>3.9E-2</v>
      </c>
      <c r="D11" s="2">
        <f>C11*0.25</f>
        <v>9.75E-3</v>
      </c>
      <c r="E11" s="2">
        <f>C11-D11</f>
        <v>2.9249999999999998E-2</v>
      </c>
      <c r="F11" s="2">
        <f>E11*2%</f>
        <v>5.8500000000000002E-4</v>
      </c>
      <c r="G11" s="2">
        <f>E11*0.4%</f>
        <v>1.17E-4</v>
      </c>
      <c r="H11" s="2">
        <f>E11*16.3%</f>
        <v>4.7677500000000003E-3</v>
      </c>
      <c r="I11" s="2">
        <f>E11*80%</f>
        <v>2.3400000000000001E-2</v>
      </c>
      <c r="J11" s="2">
        <f>E11*0.12%</f>
        <v>3.5099999999999993E-5</v>
      </c>
      <c r="K11" s="2">
        <f>E11*20%</f>
        <v>5.8500000000000002E-3</v>
      </c>
      <c r="L11" s="2">
        <v>0</v>
      </c>
      <c r="M11" s="2">
        <f>E11*10%</f>
        <v>2.9250000000000001E-3</v>
      </c>
      <c r="N11" s="2">
        <f>E11*58%</f>
        <v>1.6964999999999997E-2</v>
      </c>
      <c r="O11" s="2">
        <f>E11*23%</f>
        <v>6.7275E-3</v>
      </c>
      <c r="P11" s="2">
        <f>E11*0.9%</f>
        <v>2.6325000000000003E-4</v>
      </c>
      <c r="Q11" s="2">
        <v>25</v>
      </c>
      <c r="R11" s="2">
        <v>1.6</v>
      </c>
    </row>
    <row r="12" spans="1:18" s="10" customFormat="1" ht="22.2" customHeight="1">
      <c r="A12" s="5"/>
      <c r="B12" s="14" t="s">
        <v>28</v>
      </c>
      <c r="C12" s="2">
        <v>6.5000000000000002E-2</v>
      </c>
      <c r="D12" s="2">
        <f>C12*0.2</f>
        <v>1.3000000000000001E-2</v>
      </c>
      <c r="E12" s="2">
        <f>C12-D12</f>
        <v>5.2000000000000005E-2</v>
      </c>
      <c r="F12" s="2">
        <f>E12*1.3%</f>
        <v>6.7600000000000017E-4</v>
      </c>
      <c r="G12" s="24">
        <f>E12*0.001</f>
        <v>5.2000000000000004E-5</v>
      </c>
      <c r="H12" s="2">
        <f>E12*0.072</f>
        <v>3.7439999999999999E-3</v>
      </c>
      <c r="I12" s="2">
        <f>E12*0.3</f>
        <v>1.5600000000000001E-2</v>
      </c>
      <c r="J12" s="2">
        <f>E12*0.06%</f>
        <v>3.1199999999999999E-5</v>
      </c>
      <c r="K12" s="2">
        <f>E12*5%</f>
        <v>2.6000000000000003E-3</v>
      </c>
      <c r="L12" s="2">
        <v>0</v>
      </c>
      <c r="M12" s="2">
        <f>E12*51%</f>
        <v>2.6520000000000002E-2</v>
      </c>
      <c r="N12" s="2">
        <f>E12*55%</f>
        <v>2.8600000000000004E-2</v>
      </c>
      <c r="O12" s="2">
        <f>E12*38%</f>
        <v>1.9760000000000003E-2</v>
      </c>
      <c r="P12" s="2">
        <f>E12*0.7%</f>
        <v>3.6400000000000001E-4</v>
      </c>
      <c r="Q12" s="2">
        <v>55</v>
      </c>
      <c r="R12" s="14">
        <f>C12/1000*60</f>
        <v>3.9000000000000007E-3</v>
      </c>
    </row>
    <row r="13" spans="1:18" s="11" customFormat="1" ht="22.2" customHeight="1">
      <c r="A13" s="5"/>
      <c r="B13" s="25" t="s">
        <v>29</v>
      </c>
      <c r="C13" s="2">
        <v>0.02</v>
      </c>
      <c r="D13" s="2">
        <f>C13*0.2</f>
        <v>4.0000000000000001E-3</v>
      </c>
      <c r="E13" s="2">
        <f>C13-D13</f>
        <v>1.6E-2</v>
      </c>
      <c r="F13" s="2">
        <f>E13*0.015</f>
        <v>2.4000000000000001E-4</v>
      </c>
      <c r="G13" s="2">
        <f>E13*0.001</f>
        <v>1.5999999999999999E-5</v>
      </c>
      <c r="H13" s="2">
        <f>E13*0.091</f>
        <v>1.456E-3</v>
      </c>
      <c r="I13" s="2">
        <f>E13*0.42</f>
        <v>6.7200000000000003E-3</v>
      </c>
      <c r="J13" s="2">
        <f>E13*0.02%</f>
        <v>3.2000000000000003E-6</v>
      </c>
      <c r="K13" s="2">
        <f>E13*10%</f>
        <v>1.6000000000000001E-3</v>
      </c>
      <c r="L13" s="2">
        <v>0</v>
      </c>
      <c r="M13" s="2">
        <f>E13*37%</f>
        <v>5.9199999999999999E-3</v>
      </c>
      <c r="N13" s="2">
        <f>E13*43%</f>
        <v>6.8799999999999998E-3</v>
      </c>
      <c r="O13" s="2">
        <f>E13*22%</f>
        <v>3.5200000000000001E-3</v>
      </c>
      <c r="P13" s="2">
        <f>E13*1.4%</f>
        <v>2.2399999999999997E-4</v>
      </c>
      <c r="Q13" s="2">
        <v>35</v>
      </c>
      <c r="R13" s="2">
        <v>3.5000000000000003E-2</v>
      </c>
    </row>
    <row r="14" spans="1:18" s="11" customFormat="1" ht="18">
      <c r="A14" s="26"/>
      <c r="B14" s="25" t="s">
        <v>30</v>
      </c>
      <c r="C14" s="27">
        <v>5.2999999999999999E-2</v>
      </c>
      <c r="D14" s="27">
        <v>0</v>
      </c>
      <c r="E14" s="27">
        <f>C14-D14</f>
        <v>5.2999999999999999E-2</v>
      </c>
      <c r="F14" s="27">
        <v>0</v>
      </c>
      <c r="G14" s="28">
        <f>E14*0.999</f>
        <v>5.2947000000000001E-2</v>
      </c>
      <c r="H14" s="27">
        <v>0</v>
      </c>
      <c r="I14" s="27">
        <f>E14*8.99</f>
        <v>0.47647</v>
      </c>
      <c r="J14" s="27">
        <f>E14*0.06%</f>
        <v>3.1799999999999994E-5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58</v>
      </c>
      <c r="R14" s="27">
        <v>2.8999999999999998E-3</v>
      </c>
    </row>
    <row r="15" spans="1:18" s="11" customFormat="1" ht="31.2">
      <c r="A15" s="5"/>
      <c r="B15" s="25" t="s">
        <v>31</v>
      </c>
      <c r="C15" s="2">
        <v>0.01</v>
      </c>
      <c r="D15" s="2">
        <v>0</v>
      </c>
      <c r="E15" s="2">
        <f>C15-D15</f>
        <v>0.01</v>
      </c>
      <c r="F15" s="2">
        <v>0</v>
      </c>
      <c r="G15" s="24">
        <f>E15*0.999</f>
        <v>9.9900000000000006E-3</v>
      </c>
      <c r="H15" s="2">
        <v>0</v>
      </c>
      <c r="I15" s="2">
        <f>E15*8.99</f>
        <v>8.9900000000000008E-2</v>
      </c>
      <c r="J15" s="2">
        <f>E15*0.06%</f>
        <v>5.9999999999999993E-6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145</v>
      </c>
      <c r="R15" s="2">
        <v>1.4499999999999999E-3</v>
      </c>
    </row>
    <row r="16" spans="1:18" s="11" customFormat="1" ht="18">
      <c r="A16" s="5"/>
      <c r="B16" s="29" t="s">
        <v>19</v>
      </c>
      <c r="C16" s="3">
        <f t="shared" ref="C16:P16" si="1">SUM(C11:C15)</f>
        <v>0.18700000000000003</v>
      </c>
      <c r="D16" s="3">
        <f t="shared" si="1"/>
        <v>2.6749999999999999E-2</v>
      </c>
      <c r="E16" s="3">
        <f t="shared" si="1"/>
        <v>0.16025</v>
      </c>
      <c r="F16" s="3">
        <f t="shared" si="1"/>
        <v>1.5010000000000002E-3</v>
      </c>
      <c r="G16" s="3">
        <f t="shared" si="1"/>
        <v>6.3121999999999998E-2</v>
      </c>
      <c r="H16" s="3">
        <f t="shared" si="1"/>
        <v>9.9677500000000009E-3</v>
      </c>
      <c r="I16" s="3">
        <f t="shared" si="1"/>
        <v>0.61209000000000002</v>
      </c>
      <c r="J16" s="3">
        <f t="shared" si="1"/>
        <v>1.0729999999999997E-4</v>
      </c>
      <c r="K16" s="3">
        <f t="shared" si="1"/>
        <v>1.0050000000000002E-2</v>
      </c>
      <c r="L16" s="3">
        <f t="shared" si="1"/>
        <v>0</v>
      </c>
      <c r="M16" s="3">
        <f t="shared" si="1"/>
        <v>3.5365000000000001E-2</v>
      </c>
      <c r="N16" s="3">
        <f t="shared" si="1"/>
        <v>5.2444999999999999E-2</v>
      </c>
      <c r="O16" s="3">
        <f t="shared" si="1"/>
        <v>3.0007500000000003E-2</v>
      </c>
      <c r="P16" s="3">
        <f t="shared" si="1"/>
        <v>8.5125000000000001E-4</v>
      </c>
      <c r="Q16" s="3"/>
      <c r="R16" s="3">
        <f t="shared" ref="R16" si="2">SUM(R11:R15)</f>
        <v>1.6432499999999999</v>
      </c>
    </row>
    <row r="17" spans="1:18" s="11" customFormat="1" ht="18">
      <c r="A17" s="5"/>
      <c r="B17" s="59" t="s">
        <v>33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1"/>
    </row>
    <row r="18" spans="1:18" s="11" customFormat="1" ht="18">
      <c r="A18" s="5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s="12" customFormat="1" ht="18">
      <c r="A19" s="30"/>
      <c r="B19" s="2"/>
      <c r="C19" s="2">
        <v>0.2</v>
      </c>
      <c r="D19" s="3">
        <f>SUM(D18:D18)</f>
        <v>0</v>
      </c>
      <c r="E19" s="2">
        <v>150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70</v>
      </c>
      <c r="R19" s="2">
        <v>1.4E-2</v>
      </c>
    </row>
    <row r="20" spans="1:18" s="13" customFormat="1" ht="18">
      <c r="A20" s="30"/>
      <c r="B20" s="4" t="s">
        <v>19</v>
      </c>
      <c r="C20" s="3">
        <f>SUM(C18:C19)</f>
        <v>0.2</v>
      </c>
      <c r="D20" s="3">
        <f>SUM(D19:D19)</f>
        <v>0</v>
      </c>
      <c r="E20" s="3">
        <v>150</v>
      </c>
      <c r="F20" s="3">
        <f t="shared" ref="F20:P20" si="3">SUM(F19:F19)</f>
        <v>0</v>
      </c>
      <c r="G20" s="3">
        <f t="shared" si="3"/>
        <v>0</v>
      </c>
      <c r="H20" s="3">
        <f t="shared" si="3"/>
        <v>0</v>
      </c>
      <c r="I20" s="3">
        <f t="shared" si="3"/>
        <v>0</v>
      </c>
      <c r="J20" s="3">
        <f t="shared" si="3"/>
        <v>0</v>
      </c>
      <c r="K20" s="3">
        <f t="shared" si="3"/>
        <v>0</v>
      </c>
      <c r="L20" s="3">
        <f t="shared" si="3"/>
        <v>0</v>
      </c>
      <c r="M20" s="3">
        <f t="shared" si="3"/>
        <v>0</v>
      </c>
      <c r="N20" s="3">
        <f t="shared" si="3"/>
        <v>0</v>
      </c>
      <c r="O20" s="3">
        <f t="shared" si="3"/>
        <v>0</v>
      </c>
      <c r="P20" s="3">
        <f t="shared" si="3"/>
        <v>0</v>
      </c>
      <c r="Q20" s="3"/>
      <c r="R20" s="3">
        <f>SUM(R18:R19)</f>
        <v>1.4E-2</v>
      </c>
    </row>
    <row r="21" spans="1:18" s="13" customFormat="1" ht="18">
      <c r="A21" s="5"/>
      <c r="B21" s="59" t="s">
        <v>34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8"/>
    </row>
    <row r="22" spans="1:18" s="6" customFormat="1" ht="18">
      <c r="A22" s="5"/>
      <c r="B22" s="4" t="s">
        <v>19</v>
      </c>
      <c r="C22" s="3">
        <v>135</v>
      </c>
      <c r="D22" s="3">
        <v>0</v>
      </c>
      <c r="E22" s="3">
        <f>C22-D22</f>
        <v>135</v>
      </c>
      <c r="F22" s="3">
        <f>E22*1.5%</f>
        <v>2.0249999999999999</v>
      </c>
      <c r="G22" s="3">
        <f>E22*0.5%</f>
        <v>0.67500000000000004</v>
      </c>
      <c r="H22" s="3">
        <f>E22*21%</f>
        <v>28.349999999999998</v>
      </c>
      <c r="I22" s="3">
        <f>E22*96%</f>
        <v>129.6</v>
      </c>
      <c r="J22" s="3">
        <v>0</v>
      </c>
      <c r="K22" s="3">
        <v>8.6999999999999993</v>
      </c>
      <c r="L22" s="3">
        <v>3</v>
      </c>
      <c r="M22" s="3">
        <v>5</v>
      </c>
      <c r="N22" s="3">
        <v>22</v>
      </c>
      <c r="O22" s="3">
        <v>27</v>
      </c>
      <c r="P22" s="3">
        <v>0.3</v>
      </c>
      <c r="Q22" s="3">
        <v>122</v>
      </c>
      <c r="R22" s="3">
        <f>C22/1000*122</f>
        <v>16.470000000000002</v>
      </c>
    </row>
    <row r="23" spans="1:18" s="13" customFormat="1" ht="18">
      <c r="A23" s="5"/>
      <c r="B23" s="62" t="s">
        <v>35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4"/>
    </row>
    <row r="24" spans="1:18" s="13" customFormat="1" ht="18">
      <c r="A24" s="5"/>
      <c r="B24" s="4" t="s">
        <v>26</v>
      </c>
      <c r="C24" s="16">
        <v>3</v>
      </c>
      <c r="D24" s="3">
        <v>0</v>
      </c>
      <c r="E24" s="16">
        <f>C24-D24</f>
        <v>3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20</v>
      </c>
      <c r="R24" s="16">
        <f>C24/1000*20</f>
        <v>0.06</v>
      </c>
    </row>
    <row r="25" spans="1:18" s="13" customFormat="1" ht="23.4">
      <c r="A25" s="23"/>
      <c r="B25" s="17" t="s">
        <v>19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>
        <v>61</v>
      </c>
    </row>
  </sheetData>
  <mergeCells count="25">
    <mergeCell ref="B10:R10"/>
    <mergeCell ref="B17:R17"/>
    <mergeCell ref="B23:R23"/>
    <mergeCell ref="F2:F4"/>
    <mergeCell ref="B2:B3"/>
    <mergeCell ref="L3:L4"/>
    <mergeCell ref="M3:M4"/>
    <mergeCell ref="N3:N4"/>
    <mergeCell ref="B21:R21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M2:P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2022-01-18T17:44:43Z</dcterms:modified>
</cp:coreProperties>
</file>