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0" i="1"/>
  <c r="C20"/>
  <c r="R19"/>
  <c r="J19"/>
  <c r="I19"/>
  <c r="G19"/>
  <c r="R18"/>
  <c r="D18"/>
  <c r="E18" s="1"/>
  <c r="R17"/>
  <c r="R20" s="1"/>
  <c r="E17"/>
  <c r="G17" s="1"/>
  <c r="R16"/>
  <c r="E16"/>
  <c r="O16" s="1"/>
  <c r="D16"/>
  <c r="D20" s="1"/>
  <c r="M18" l="1"/>
  <c r="H18"/>
  <c r="O18"/>
  <c r="J18"/>
  <c r="G18"/>
  <c r="N18"/>
  <c r="I18"/>
  <c r="F18"/>
  <c r="P18"/>
  <c r="K18"/>
  <c r="O20"/>
  <c r="N16"/>
  <c r="E20"/>
  <c r="G16"/>
  <c r="K16"/>
  <c r="P16"/>
  <c r="I17"/>
  <c r="I16"/>
  <c r="H16"/>
  <c r="M16"/>
  <c r="J17"/>
  <c r="F16"/>
  <c r="F20" s="1"/>
  <c r="J16"/>
  <c r="I20" l="1"/>
  <c r="J20"/>
  <c r="H20"/>
  <c r="K20"/>
  <c r="G20"/>
  <c r="M20"/>
  <c r="P20"/>
  <c r="N20"/>
  <c r="F22" l="1"/>
  <c r="G22"/>
  <c r="H22"/>
  <c r="I22"/>
  <c r="J22"/>
  <c r="M22"/>
  <c r="N22"/>
  <c r="O22"/>
  <c r="P22"/>
  <c r="R22"/>
  <c r="E24"/>
  <c r="F24" s="1"/>
  <c r="R24"/>
  <c r="R6"/>
  <c r="R26"/>
  <c r="E26"/>
  <c r="D14"/>
  <c r="R13"/>
  <c r="E13"/>
  <c r="N13" s="1"/>
  <c r="R12"/>
  <c r="E12"/>
  <c r="H12" s="1"/>
  <c r="R11"/>
  <c r="E11"/>
  <c r="O11" s="1"/>
  <c r="K9"/>
  <c r="R8"/>
  <c r="E8"/>
  <c r="P8" s="1"/>
  <c r="R7"/>
  <c r="E7"/>
  <c r="O7" s="1"/>
  <c r="E6"/>
  <c r="N6" s="1"/>
  <c r="H13" l="1"/>
  <c r="H24"/>
  <c r="G24"/>
  <c r="I24"/>
  <c r="R9"/>
  <c r="F11"/>
  <c r="F14" s="1"/>
  <c r="M13"/>
  <c r="M7"/>
  <c r="H7"/>
  <c r="J11"/>
  <c r="O13"/>
  <c r="G13"/>
  <c r="N7"/>
  <c r="N11"/>
  <c r="N14" s="1"/>
  <c r="J13"/>
  <c r="P13"/>
  <c r="G7"/>
  <c r="O14"/>
  <c r="R14"/>
  <c r="F13"/>
  <c r="L13"/>
  <c r="I8"/>
  <c r="H6"/>
  <c r="N8"/>
  <c r="M11"/>
  <c r="M12"/>
  <c r="G6"/>
  <c r="K6"/>
  <c r="O6"/>
  <c r="F7"/>
  <c r="J7"/>
  <c r="J9" s="1"/>
  <c r="P7"/>
  <c r="P9" s="1"/>
  <c r="G8"/>
  <c r="M8"/>
  <c r="H11"/>
  <c r="L11"/>
  <c r="P11"/>
  <c r="I12"/>
  <c r="I13"/>
  <c r="I6"/>
  <c r="M6"/>
  <c r="O8"/>
  <c r="O9" s="1"/>
  <c r="P12"/>
  <c r="L6"/>
  <c r="P6"/>
  <c r="H8"/>
  <c r="I11"/>
  <c r="F6"/>
  <c r="J6"/>
  <c r="I7"/>
  <c r="F8"/>
  <c r="L8"/>
  <c r="L9" s="1"/>
  <c r="G11"/>
  <c r="K11"/>
  <c r="K14" s="1"/>
  <c r="H9" l="1"/>
  <c r="H14"/>
  <c r="L14"/>
  <c r="J14"/>
  <c r="G14"/>
  <c r="M9"/>
  <c r="N9"/>
  <c r="I14"/>
  <c r="P14"/>
  <c r="G9"/>
  <c r="M14"/>
  <c r="F9"/>
  <c r="I9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<sst xmlns="http://schemas.openxmlformats.org/spreadsheetml/2006/main" count="46" uniqueCount="40">
  <si>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</si>
  <si>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</si>
  <si>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</si>
  <si>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</si>
  <si>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</si>
  <si>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</si>
  <si>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</si>
  <si>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</si>
  <si>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</si>
  <si>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</si>
  <si>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</si>
  <si>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</si>
  <si>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</si>
  <si>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</si>
  <si>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</si>
  <si>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</si>
  <si>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</si>
  <si>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</si>
  <si>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</si>
  <si>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</si>
  <si>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</si>
  <si>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</si>
  <si>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</si>
  <si>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</si>
  <si>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</si>
  <si>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молоко</t>
  </si>
  <si>
    <t xml:space="preserve">     2.какао с молоком</t>
  </si>
  <si>
    <t>какао</t>
  </si>
  <si>
    <t>соль</t>
  </si>
  <si>
    <t xml:space="preserve">1.каша пшеничная молочная </t>
  </si>
  <si>
    <t>пшеничная крупа</t>
  </si>
  <si>
    <t xml:space="preserve">14.01.2022 г  </t>
  </si>
  <si>
    <t>морковь</t>
  </si>
  <si>
    <t>зел.горох</t>
  </si>
  <si>
    <t>капуста</t>
  </si>
  <si>
    <t>растит. масло</t>
  </si>
  <si>
    <t>3.салат из овощей</t>
  </si>
  <si>
    <t>4.хлеб</t>
  </si>
  <si>
    <t>5.яблоки</t>
  </si>
  <si>
    <t>6.соль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</si>
</sst>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8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10" fillId="0" borderId="1" xfId="0" applyFont="1" applyBorder="1"/>
    <xf numFmtId="0" fontId="11" fillId="0" borderId="0" xfId="0" applyFont="1"/>
    <xf numFmtId="14" fontId="2" fillId="0" borderId="1" xfId="0" applyNumberFormat="1" applyFont="1" applyBorder="1"/>
    <xf numFmtId="0" fontId="3" fillId="2" borderId="2" xfId="0" applyFont="1" applyFill="1" applyBorder="1" applyAlignment="1"/>
    <xf numFmtId="0" fontId="15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4" fillId="0" borderId="1" xfId="0" applyNumberFormat="1" applyFont="1" applyBorder="1"/>
    <xf numFmtId="1" fontId="5" fillId="0" borderId="0" xfId="0" applyNumberFormat="1" applyFont="1"/>
    <xf numFmtId="164" fontId="6" fillId="0" borderId="1" xfId="0" applyNumberFormat="1" applyFont="1" applyBorder="1"/>
    <xf numFmtId="2" fontId="19" fillId="0" borderId="1" xfId="0" applyNumberFormat="1" applyFont="1" applyBorder="1"/>
    <xf numFmtId="2" fontId="18" fillId="0" borderId="3" xfId="0" applyNumberFormat="1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6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center"/>
    </xf>
    <xf numFmtId="0" fontId="13" fillId="2" borderId="6" xfId="1" applyNumberFormat="1" applyFont="1" applyFill="1" applyBorder="1" applyAlignment="1" applyProtection="1">
      <alignment horizontal="center" vertical="center"/>
    </xf>
    <xf numFmtId="0" fontId="13" fillId="0" borderId="1" xfId="1" applyNumberFormat="1" applyFont="1" applyFill="1" applyBorder="1" applyAlignment="1" applyProtection="1">
      <alignment horizontal="center" vertical="center"/>
    </xf>
    <xf numFmtId="0" fontId="13" fillId="0" borderId="7" xfId="1" applyNumberFormat="1" applyFont="1" applyFill="1" applyBorder="1" applyAlignment="1" applyProtection="1">
      <alignment horizontal="center" vertic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2" borderId="2" xfId="1" applyNumberFormat="1" applyFont="1" applyFill="1" applyBorder="1" applyAlignment="1" applyProtection="1">
      <alignment horizontal="center" vertical="top" wrapText="1"/>
    </xf>
    <xf numFmtId="0" fontId="16" fillId="2" borderId="7" xfId="1" applyNumberFormat="1" applyFont="1" applyFill="1" applyBorder="1" applyAlignment="1" applyProtection="1">
      <alignment horizontal="center" vertical="top" wrapText="1"/>
    </xf>
    <xf numFmtId="0" fontId="16" fillId="2" borderId="6" xfId="1" applyNumberFormat="1" applyFont="1" applyFill="1" applyBorder="1" applyAlignment="1" applyProtection="1">
      <alignment horizontal="center" vertical="top" wrapText="1"/>
    </xf>
    <xf numFmtId="0" fontId="7" fillId="0" borderId="3" xfId="1" applyNumberFormat="1" applyFont="1" applyFill="1" applyBorder="1" applyAlignment="1" applyProtection="1">
      <alignment horizontal="center" vertical="top" wrapText="1"/>
    </xf>
    <xf numFmtId="0" fontId="7" fillId="0" borderId="4" xfId="1" applyNumberFormat="1" applyFont="1" applyFill="1" applyBorder="1" applyAlignment="1" applyProtection="1">
      <alignment horizontal="center" vertical="top" wrapText="1"/>
    </xf>
    <xf numFmtId="0" fontId="7" fillId="0" borderId="5" xfId="1" applyNumberFormat="1" applyFont="1" applyFill="1" applyBorder="1" applyAlignment="1" applyProtection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7" fillId="2" borderId="2" xfId="1" applyNumberFormat="1" applyFont="1" applyFill="1" applyBorder="1" applyAlignment="1" applyProtection="1">
      <alignment horizontal="center" vertical="top"/>
    </xf>
    <xf numFmtId="0" fontId="17" fillId="2" borderId="7" xfId="1" applyNumberFormat="1" applyFont="1" applyFill="1" applyBorder="1" applyAlignment="1" applyProtection="1">
      <alignment horizontal="center" vertical="top"/>
    </xf>
    <xf numFmtId="0" fontId="17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1" fontId="20" fillId="0" borderId="1" xfId="0" applyNumberFormat="1" applyFont="1" applyBorder="1"/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1" fontId="21" fillId="0" borderId="1" xfId="0" applyNumberFormat="1" applyFont="1" applyBorder="1"/>
    <xf numFmtId="0" fontId="22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left" vertical="top" wrapText="1"/>
    </xf>
    <xf numFmtId="2" fontId="23" fillId="0" borderId="1" xfId="0" applyNumberFormat="1" applyFont="1" applyBorder="1"/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workbookViewId="0">
      <selection activeCell="S13" sqref="S13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4" t="s">
        <v>20</v>
      </c>
      <c r="C1" s="14"/>
      <c r="D1" s="14"/>
      <c r="E1" s="14"/>
      <c r="F1" s="14"/>
      <c r="G1" s="14"/>
      <c r="H1" s="14"/>
      <c r="I1" s="14" t="s">
        <v>1</v>
      </c>
      <c r="J1" s="16" t="s">
        <v>31</v>
      </c>
      <c r="K1" s="15"/>
      <c r="L1" s="15"/>
      <c r="M1" s="15"/>
      <c r="N1" s="15"/>
      <c r="O1" s="15"/>
      <c r="P1" s="15"/>
      <c r="Q1" s="15"/>
      <c r="R1" s="15"/>
    </row>
    <row r="2" spans="1:18" ht="33" customHeight="1">
      <c r="A2" s="39"/>
      <c r="B2" s="38" t="s">
        <v>5</v>
      </c>
      <c r="C2" s="41" t="s">
        <v>23</v>
      </c>
      <c r="D2" s="50" t="s">
        <v>6</v>
      </c>
      <c r="E2" s="50" t="s">
        <v>7</v>
      </c>
      <c r="F2" s="29" t="s">
        <v>2</v>
      </c>
      <c r="G2" s="29" t="s">
        <v>3</v>
      </c>
      <c r="H2" s="29" t="s">
        <v>4</v>
      </c>
      <c r="I2" s="29" t="s">
        <v>8</v>
      </c>
      <c r="J2" s="33" t="s">
        <v>9</v>
      </c>
      <c r="K2" s="33"/>
      <c r="L2" s="33"/>
      <c r="M2" s="33" t="s">
        <v>10</v>
      </c>
      <c r="N2" s="33"/>
      <c r="O2" s="33"/>
      <c r="P2" s="33"/>
      <c r="Q2" s="53" t="s">
        <v>11</v>
      </c>
      <c r="R2" s="47" t="s">
        <v>24</v>
      </c>
    </row>
    <row r="3" spans="1:18" ht="24" customHeight="1">
      <c r="A3" s="40"/>
      <c r="B3" s="38"/>
      <c r="C3" s="42"/>
      <c r="D3" s="51"/>
      <c r="E3" s="51"/>
      <c r="F3" s="34"/>
      <c r="G3" s="34"/>
      <c r="H3" s="34"/>
      <c r="I3" s="34"/>
      <c r="J3" s="29" t="s">
        <v>12</v>
      </c>
      <c r="K3" s="31" t="s">
        <v>13</v>
      </c>
      <c r="L3" s="29" t="s">
        <v>14</v>
      </c>
      <c r="M3" s="29" t="s">
        <v>15</v>
      </c>
      <c r="N3" s="29" t="s">
        <v>16</v>
      </c>
      <c r="O3" s="29" t="s">
        <v>17</v>
      </c>
      <c r="P3" s="29" t="s">
        <v>18</v>
      </c>
      <c r="Q3" s="54"/>
      <c r="R3" s="48"/>
    </row>
    <row r="4" spans="1:18" ht="24" customHeight="1">
      <c r="A4" s="17"/>
      <c r="B4" s="18"/>
      <c r="C4" s="43"/>
      <c r="D4" s="52"/>
      <c r="E4" s="52"/>
      <c r="F4" s="30"/>
      <c r="G4" s="30"/>
      <c r="H4" s="30"/>
      <c r="I4" s="30"/>
      <c r="J4" s="30"/>
      <c r="K4" s="32"/>
      <c r="L4" s="30"/>
      <c r="M4" s="30"/>
      <c r="N4" s="30"/>
      <c r="O4" s="30"/>
      <c r="P4" s="30"/>
      <c r="Q4" s="55"/>
      <c r="R4" s="49"/>
    </row>
    <row r="5" spans="1:18" s="6" customFormat="1" ht="19.2" customHeight="1">
      <c r="A5" s="19"/>
      <c r="B5" s="44" t="s">
        <v>29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6"/>
    </row>
    <row r="6" spans="1:18" s="7" customFormat="1" ht="22.2" customHeight="1">
      <c r="A6" s="19"/>
      <c r="B6" s="20" t="s">
        <v>25</v>
      </c>
      <c r="C6" s="2">
        <v>60</v>
      </c>
      <c r="D6" s="2">
        <v>0</v>
      </c>
      <c r="E6" s="2">
        <f>C6-D6</f>
        <v>60</v>
      </c>
      <c r="F6" s="2">
        <f>E6*2.8%</f>
        <v>1.6799999999999997</v>
      </c>
      <c r="G6" s="2">
        <f>E6*3.2%</f>
        <v>1.92</v>
      </c>
      <c r="H6" s="2">
        <f>E6*4.7%</f>
        <v>2.82</v>
      </c>
      <c r="I6" s="2">
        <f>E6*58%</f>
        <v>34.799999999999997</v>
      </c>
      <c r="J6" s="2">
        <f>E6*0.04</f>
        <v>2.4</v>
      </c>
      <c r="K6" s="2">
        <f>E6*1.3%</f>
        <v>0.78</v>
      </c>
      <c r="L6" s="2">
        <f>E6*0.01%</f>
        <v>6.0000000000000001E-3</v>
      </c>
      <c r="M6" s="2">
        <f>E6*120%</f>
        <v>72</v>
      </c>
      <c r="N6" s="2">
        <f>E6*90%</f>
        <v>54</v>
      </c>
      <c r="O6" s="2">
        <f>E6*14%</f>
        <v>8.4</v>
      </c>
      <c r="P6" s="2">
        <f>E6*0.06%</f>
        <v>3.5999999999999997E-2</v>
      </c>
      <c r="Q6" s="2">
        <v>70</v>
      </c>
      <c r="R6" s="21">
        <f>C6/1000*110</f>
        <v>6.6</v>
      </c>
    </row>
    <row r="7" spans="1:18" s="8" customFormat="1" ht="19.2" customHeight="1">
      <c r="A7" s="19"/>
      <c r="B7" s="20" t="s">
        <v>30</v>
      </c>
      <c r="C7" s="2">
        <v>46</v>
      </c>
      <c r="D7" s="2">
        <v>0</v>
      </c>
      <c r="E7" s="2">
        <f>SUM(C7:D7)</f>
        <v>46</v>
      </c>
      <c r="F7" s="2">
        <f>E7*7%</f>
        <v>3.22</v>
      </c>
      <c r="G7" s="2">
        <f>E7*1%</f>
        <v>0.46</v>
      </c>
      <c r="H7" s="2">
        <f>E7*71.4%</f>
        <v>32.844000000000001</v>
      </c>
      <c r="I7" s="2">
        <f>E7*330%</f>
        <v>151.79999999999998</v>
      </c>
      <c r="J7" s="2">
        <f>E7*0.08%</f>
        <v>3.6799999999999999E-2</v>
      </c>
      <c r="K7" s="2">
        <v>0</v>
      </c>
      <c r="L7" s="2">
        <v>0</v>
      </c>
      <c r="M7" s="2">
        <f>E7*8%</f>
        <v>3.68</v>
      </c>
      <c r="N7" s="2">
        <f>E7*150%</f>
        <v>69</v>
      </c>
      <c r="O7" s="2">
        <f>E7*50%</f>
        <v>23</v>
      </c>
      <c r="P7" s="2">
        <f>E7*1%</f>
        <v>0.46</v>
      </c>
      <c r="Q7" s="2">
        <v>45</v>
      </c>
      <c r="R7" s="2">
        <f>C7/1000*75</f>
        <v>3.4499999999999997</v>
      </c>
    </row>
    <row r="8" spans="1:18" s="7" customFormat="1" ht="22.2" customHeight="1">
      <c r="A8" s="19"/>
      <c r="B8" s="20" t="s">
        <v>22</v>
      </c>
      <c r="C8" s="2">
        <v>15</v>
      </c>
      <c r="D8" s="2">
        <v>0</v>
      </c>
      <c r="E8" s="2">
        <f>C8-D8</f>
        <v>15</v>
      </c>
      <c r="F8" s="2">
        <f>E8*0.5%</f>
        <v>7.4999999999999997E-2</v>
      </c>
      <c r="G8" s="2">
        <f>E8*82.5%</f>
        <v>12.375</v>
      </c>
      <c r="H8" s="2">
        <f>E8*0.8%</f>
        <v>0.12</v>
      </c>
      <c r="I8" s="2">
        <f>E8*748%</f>
        <v>112.2</v>
      </c>
      <c r="J8" s="2">
        <v>0</v>
      </c>
      <c r="K8" s="2">
        <v>0</v>
      </c>
      <c r="L8" s="2">
        <f>E8*0.59%</f>
        <v>8.8499999999999995E-2</v>
      </c>
      <c r="M8" s="2">
        <f>E8*12%</f>
        <v>1.7999999999999998</v>
      </c>
      <c r="N8" s="2">
        <f>E8*19%</f>
        <v>2.85</v>
      </c>
      <c r="O8" s="2">
        <f>E8*0.4%</f>
        <v>0.06</v>
      </c>
      <c r="P8" s="2">
        <f>E8*0.2%</f>
        <v>0.03</v>
      </c>
      <c r="Q8" s="2">
        <v>480</v>
      </c>
      <c r="R8" s="21">
        <f>C8/1000*480</f>
        <v>7.1999999999999993</v>
      </c>
    </row>
    <row r="9" spans="1:18" s="7" customFormat="1" ht="22.2" customHeight="1">
      <c r="A9" s="19"/>
      <c r="B9" s="19" t="s">
        <v>19</v>
      </c>
      <c r="C9" s="3">
        <v>110</v>
      </c>
      <c r="D9" s="3">
        <v>0</v>
      </c>
      <c r="E9" s="3">
        <v>200</v>
      </c>
      <c r="F9" s="3">
        <f t="shared" ref="F9:P9" si="0">SUM(F7:F8)</f>
        <v>3.2950000000000004</v>
      </c>
      <c r="G9" s="3">
        <f t="shared" si="0"/>
        <v>12.835000000000001</v>
      </c>
      <c r="H9" s="3">
        <f t="shared" si="0"/>
        <v>32.963999999999999</v>
      </c>
      <c r="I9" s="3">
        <f t="shared" si="0"/>
        <v>264</v>
      </c>
      <c r="J9" s="3">
        <f t="shared" si="0"/>
        <v>3.6799999999999999E-2</v>
      </c>
      <c r="K9" s="3">
        <f t="shared" si="0"/>
        <v>0</v>
      </c>
      <c r="L9" s="3">
        <f t="shared" si="0"/>
        <v>8.8499999999999995E-2</v>
      </c>
      <c r="M9" s="3">
        <f t="shared" si="0"/>
        <v>5.48</v>
      </c>
      <c r="N9" s="3">
        <f t="shared" si="0"/>
        <v>71.849999999999994</v>
      </c>
      <c r="O9" s="3">
        <f t="shared" si="0"/>
        <v>23.06</v>
      </c>
      <c r="P9" s="3">
        <f t="shared" si="0"/>
        <v>0.49</v>
      </c>
      <c r="Q9" s="3"/>
      <c r="R9" s="3">
        <f>SUM(R6:R8)</f>
        <v>17.25</v>
      </c>
    </row>
    <row r="10" spans="1:18" s="9" customFormat="1" ht="22.2" customHeight="1">
      <c r="A10" s="19"/>
      <c r="B10" s="26" t="s">
        <v>26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18" s="6" customFormat="1" ht="18">
      <c r="A11" s="19"/>
      <c r="B11" s="20" t="s">
        <v>25</v>
      </c>
      <c r="C11" s="2">
        <v>60</v>
      </c>
      <c r="D11" s="2">
        <v>0</v>
      </c>
      <c r="E11" s="2">
        <f>C11-D11</f>
        <v>60</v>
      </c>
      <c r="F11" s="2">
        <f>E11*2.8%</f>
        <v>1.6799999999999997</v>
      </c>
      <c r="G11" s="2">
        <f>E11*3.2%</f>
        <v>1.92</v>
      </c>
      <c r="H11" s="2">
        <f>E11*4.7%</f>
        <v>2.82</v>
      </c>
      <c r="I11" s="2">
        <f>E11*58%</f>
        <v>34.799999999999997</v>
      </c>
      <c r="J11" s="2">
        <f>E11*0.04</f>
        <v>2.4</v>
      </c>
      <c r="K11" s="2">
        <f>E11*1.3%</f>
        <v>0.78</v>
      </c>
      <c r="L11" s="2">
        <f>E11*0.01%</f>
        <v>6.0000000000000001E-3</v>
      </c>
      <c r="M11" s="2">
        <f>E11*120%</f>
        <v>72</v>
      </c>
      <c r="N11" s="2">
        <f>E11*90%</f>
        <v>54</v>
      </c>
      <c r="O11" s="2">
        <f>E11*14%</f>
        <v>8.4</v>
      </c>
      <c r="P11" s="2">
        <f>E11*0.06%</f>
        <v>3.5999999999999997E-2</v>
      </c>
      <c r="Q11" s="2">
        <v>110</v>
      </c>
      <c r="R11" s="21">
        <f>C11/1000*110</f>
        <v>6.6</v>
      </c>
    </row>
    <row r="12" spans="1:18" s="10" customFormat="1" ht="22.2" customHeight="1">
      <c r="A12" s="19"/>
      <c r="B12" s="2" t="s">
        <v>21</v>
      </c>
      <c r="C12" s="2">
        <v>15</v>
      </c>
      <c r="D12" s="2">
        <v>0</v>
      </c>
      <c r="E12" s="2">
        <f>C12-D12</f>
        <v>15</v>
      </c>
      <c r="F12" s="2">
        <v>0</v>
      </c>
      <c r="G12" s="2">
        <v>0</v>
      </c>
      <c r="H12" s="2">
        <f>E12*99.8%</f>
        <v>14.97</v>
      </c>
      <c r="I12" s="2">
        <f>E12*379%</f>
        <v>56.85</v>
      </c>
      <c r="J12" s="2">
        <v>0</v>
      </c>
      <c r="K12" s="2">
        <v>0</v>
      </c>
      <c r="L12" s="2">
        <v>0</v>
      </c>
      <c r="M12" s="2">
        <f>E12*2%</f>
        <v>0.3</v>
      </c>
      <c r="N12" s="2">
        <v>0</v>
      </c>
      <c r="O12" s="2">
        <v>0</v>
      </c>
      <c r="P12" s="2">
        <f>E12*0.3%</f>
        <v>4.4999999999999998E-2</v>
      </c>
      <c r="Q12" s="2">
        <v>70</v>
      </c>
      <c r="R12" s="2">
        <f>C12/1000*60</f>
        <v>0.89999999999999991</v>
      </c>
    </row>
    <row r="13" spans="1:18" s="11" customFormat="1" ht="22.2" customHeight="1">
      <c r="A13" s="19"/>
      <c r="B13" s="21" t="s">
        <v>27</v>
      </c>
      <c r="C13" s="21">
        <v>1</v>
      </c>
      <c r="D13" s="21">
        <v>0</v>
      </c>
      <c r="E13" s="21">
        <f>C13-D13</f>
        <v>1</v>
      </c>
      <c r="F13" s="21">
        <f>E13*24.2%</f>
        <v>0.24199999999999999</v>
      </c>
      <c r="G13" s="21">
        <f>E13*17.5%</f>
        <v>0.17499999999999999</v>
      </c>
      <c r="H13" s="21">
        <f>E13*27.9%</f>
        <v>0.27899999999999997</v>
      </c>
      <c r="I13" s="21">
        <f>E13*380%</f>
        <v>3.8</v>
      </c>
      <c r="J13" s="21">
        <f>E13*0.1%</f>
        <v>1E-3</v>
      </c>
      <c r="K13" s="21">
        <v>0</v>
      </c>
      <c r="L13" s="21">
        <f>E13*0.02%</f>
        <v>2.0000000000000001E-4</v>
      </c>
      <c r="M13" s="21">
        <f>E13*55%</f>
        <v>0.55000000000000004</v>
      </c>
      <c r="N13" s="21">
        <f>E13*655%</f>
        <v>6.55</v>
      </c>
      <c r="O13" s="21">
        <f>E13*191%</f>
        <v>1.91</v>
      </c>
      <c r="P13" s="21">
        <f>E13*14.8%</f>
        <v>0.14800000000000002</v>
      </c>
      <c r="Q13" s="21">
        <v>850</v>
      </c>
      <c r="R13" s="21">
        <f>C13/1000*850</f>
        <v>0.85</v>
      </c>
    </row>
    <row r="14" spans="1:18" s="11" customFormat="1" ht="18">
      <c r="A14" s="5"/>
      <c r="B14" s="4" t="s">
        <v>19</v>
      </c>
      <c r="C14" s="3">
        <v>115</v>
      </c>
      <c r="D14" s="3">
        <f>SUM(D10:D13)</f>
        <v>0</v>
      </c>
      <c r="E14" s="3">
        <v>150</v>
      </c>
      <c r="F14" s="3">
        <f t="shared" ref="F14:P14" si="1">SUM(F10:F13)</f>
        <v>1.9219999999999997</v>
      </c>
      <c r="G14" s="3">
        <f t="shared" si="1"/>
        <v>2.0949999999999998</v>
      </c>
      <c r="H14" s="3">
        <f t="shared" si="1"/>
        <v>18.068999999999999</v>
      </c>
      <c r="I14" s="3">
        <f t="shared" si="1"/>
        <v>95.45</v>
      </c>
      <c r="J14" s="3">
        <f t="shared" si="1"/>
        <v>2.4009999999999998</v>
      </c>
      <c r="K14" s="3">
        <f t="shared" si="1"/>
        <v>0.78</v>
      </c>
      <c r="L14" s="3">
        <f t="shared" si="1"/>
        <v>6.1999999999999998E-3</v>
      </c>
      <c r="M14" s="3">
        <f t="shared" si="1"/>
        <v>72.849999999999994</v>
      </c>
      <c r="N14" s="3">
        <f t="shared" si="1"/>
        <v>60.55</v>
      </c>
      <c r="O14" s="3">
        <f t="shared" si="1"/>
        <v>10.31</v>
      </c>
      <c r="P14" s="3">
        <f t="shared" si="1"/>
        <v>0.22900000000000001</v>
      </c>
      <c r="Q14" s="3"/>
      <c r="R14" s="3">
        <f>SUM(R11:R13)</f>
        <v>8.35</v>
      </c>
    </row>
    <row r="15" spans="1:18" s="11" customFormat="1" ht="21">
      <c r="A15" s="56"/>
      <c r="B15" s="57" t="s">
        <v>36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9"/>
    </row>
    <row r="16" spans="1:18" s="11" customFormat="1" ht="18">
      <c r="A16" s="60"/>
      <c r="B16" s="61" t="s">
        <v>32</v>
      </c>
      <c r="C16" s="2">
        <v>10</v>
      </c>
      <c r="D16" s="2">
        <f>C16*0.2</f>
        <v>2</v>
      </c>
      <c r="E16" s="2">
        <f>C16-D16</f>
        <v>8</v>
      </c>
      <c r="F16" s="2">
        <f>E16*1.3%</f>
        <v>0.10400000000000001</v>
      </c>
      <c r="G16" s="62">
        <f>E16*0.001</f>
        <v>8.0000000000000002E-3</v>
      </c>
      <c r="H16" s="2">
        <f>E16*0.072</f>
        <v>0.57599999999999996</v>
      </c>
      <c r="I16" s="2">
        <f>E16*0.3</f>
        <v>2.4</v>
      </c>
      <c r="J16" s="2">
        <f>E16*0.06%</f>
        <v>4.7999999999999996E-3</v>
      </c>
      <c r="K16" s="2">
        <f>E16*5%</f>
        <v>0.4</v>
      </c>
      <c r="L16" s="2">
        <v>0</v>
      </c>
      <c r="M16" s="2">
        <f>E16*51%</f>
        <v>4.08</v>
      </c>
      <c r="N16" s="2">
        <f>E16*55%</f>
        <v>4.4000000000000004</v>
      </c>
      <c r="O16" s="2">
        <f>E16*38%</f>
        <v>3.04</v>
      </c>
      <c r="P16" s="2">
        <f>E16*0.7%</f>
        <v>5.5999999999999994E-2</v>
      </c>
      <c r="Q16" s="2">
        <v>60</v>
      </c>
      <c r="R16" s="20">
        <f>C16/1000*60</f>
        <v>0.6</v>
      </c>
    </row>
    <row r="17" spans="1:18" s="11" customFormat="1" ht="18">
      <c r="A17" s="63"/>
      <c r="B17" s="61" t="s">
        <v>33</v>
      </c>
      <c r="C17" s="64">
        <v>6</v>
      </c>
      <c r="D17" s="64">
        <v>0</v>
      </c>
      <c r="E17" s="64">
        <f>C17-D17</f>
        <v>6</v>
      </c>
      <c r="F17" s="64">
        <v>0</v>
      </c>
      <c r="G17" s="65">
        <f>E17*0.999</f>
        <v>5.9939999999999998</v>
      </c>
      <c r="H17" s="64">
        <v>0</v>
      </c>
      <c r="I17" s="64">
        <f>E17*8.99</f>
        <v>53.94</v>
      </c>
      <c r="J17" s="64">
        <f>E17*0.06%</f>
        <v>3.5999999999999999E-3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180</v>
      </c>
      <c r="R17" s="64">
        <f>C17/1000*180</f>
        <v>1.08</v>
      </c>
    </row>
    <row r="18" spans="1:18" s="11" customFormat="1" ht="18">
      <c r="A18" s="60"/>
      <c r="B18" s="61" t="s">
        <v>34</v>
      </c>
      <c r="C18" s="2">
        <v>25</v>
      </c>
      <c r="D18" s="2">
        <f>C18*0.2</f>
        <v>5</v>
      </c>
      <c r="E18" s="2">
        <f>C18-D18</f>
        <v>20</v>
      </c>
      <c r="F18" s="2">
        <f>E18*0.018</f>
        <v>0.36</v>
      </c>
      <c r="G18" s="62">
        <f>E18*0.001</f>
        <v>0.02</v>
      </c>
      <c r="H18" s="2">
        <f>E18*0.047</f>
        <v>0.94</v>
      </c>
      <c r="I18" s="2">
        <f>E18*0.27</f>
        <v>5.4</v>
      </c>
      <c r="J18" s="2">
        <f>E18*0.03%</f>
        <v>5.9999999999999993E-3</v>
      </c>
      <c r="K18" s="2">
        <f>E18*45%</f>
        <v>9</v>
      </c>
      <c r="L18" s="2">
        <v>0</v>
      </c>
      <c r="M18" s="2">
        <f>E18*48%</f>
        <v>9.6</v>
      </c>
      <c r="N18" s="2">
        <f>E18*31%</f>
        <v>6.2</v>
      </c>
      <c r="O18" s="2">
        <f>E18*16%</f>
        <v>3.2</v>
      </c>
      <c r="P18" s="2">
        <f>E18*0.6%</f>
        <v>0.12</v>
      </c>
      <c r="Q18" s="2">
        <v>50</v>
      </c>
      <c r="R18" s="20">
        <f>C18/1000*50</f>
        <v>1.25</v>
      </c>
    </row>
    <row r="19" spans="1:18" s="12" customFormat="1" ht="18">
      <c r="A19" s="60"/>
      <c r="B19" s="61" t="s">
        <v>35</v>
      </c>
      <c r="C19" s="2">
        <v>5</v>
      </c>
      <c r="D19" s="2">
        <v>0</v>
      </c>
      <c r="E19" s="2">
        <v>3</v>
      </c>
      <c r="F19" s="2">
        <v>0</v>
      </c>
      <c r="G19" s="62">
        <f>E19*0.999</f>
        <v>2.9969999999999999</v>
      </c>
      <c r="H19" s="2">
        <v>0</v>
      </c>
      <c r="I19" s="2">
        <f>E19*8.99%</f>
        <v>0.26970000000000005</v>
      </c>
      <c r="J19" s="2">
        <f>E19*0.06%</f>
        <v>1.8E-3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150</v>
      </c>
      <c r="R19" s="20">
        <f>C19/1000*150</f>
        <v>0.75</v>
      </c>
    </row>
    <row r="20" spans="1:18" s="13" customFormat="1" ht="18">
      <c r="A20" s="60"/>
      <c r="B20" s="66" t="s">
        <v>19</v>
      </c>
      <c r="C20" s="67">
        <f>SUM(C16:C19)</f>
        <v>46</v>
      </c>
      <c r="D20" s="67">
        <f t="shared" ref="D20:P20" si="2">SUM(D16:D19)</f>
        <v>7</v>
      </c>
      <c r="E20" s="67">
        <f t="shared" si="2"/>
        <v>37</v>
      </c>
      <c r="F20" s="67">
        <f t="shared" si="2"/>
        <v>0.46399999999999997</v>
      </c>
      <c r="G20" s="67">
        <f t="shared" si="2"/>
        <v>9.0189999999999984</v>
      </c>
      <c r="H20" s="67">
        <f t="shared" si="2"/>
        <v>1.516</v>
      </c>
      <c r="I20" s="67">
        <f t="shared" si="2"/>
        <v>62.009699999999995</v>
      </c>
      <c r="J20" s="67">
        <f t="shared" si="2"/>
        <v>1.6199999999999999E-2</v>
      </c>
      <c r="K20" s="67">
        <f t="shared" si="2"/>
        <v>9.4</v>
      </c>
      <c r="L20" s="67">
        <f t="shared" si="2"/>
        <v>0</v>
      </c>
      <c r="M20" s="67">
        <f t="shared" si="2"/>
        <v>13.68</v>
      </c>
      <c r="N20" s="67">
        <f t="shared" si="2"/>
        <v>10.600000000000001</v>
      </c>
      <c r="O20" s="67">
        <f t="shared" si="2"/>
        <v>6.24</v>
      </c>
      <c r="P20" s="67">
        <f t="shared" si="2"/>
        <v>0.17599999999999999</v>
      </c>
      <c r="Q20" s="67"/>
      <c r="R20" s="67">
        <f>SUM(R16:R19)</f>
        <v>3.68</v>
      </c>
    </row>
    <row r="21" spans="1:18" s="13" customFormat="1" ht="18">
      <c r="A21" s="5"/>
      <c r="B21" s="25" t="s">
        <v>37</v>
      </c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</row>
    <row r="22" spans="1:18" s="6" customFormat="1" ht="18">
      <c r="A22" s="5"/>
      <c r="B22" s="4" t="s">
        <v>19</v>
      </c>
      <c r="C22" s="3">
        <v>50</v>
      </c>
      <c r="D22" s="3">
        <v>0</v>
      </c>
      <c r="E22" s="3">
        <v>50</v>
      </c>
      <c r="F22" s="3">
        <f>E22*7.9%</f>
        <v>3.95</v>
      </c>
      <c r="G22" s="3">
        <f>E22*1%</f>
        <v>0.5</v>
      </c>
      <c r="H22" s="3">
        <f>E22*48.1%</f>
        <v>24.05</v>
      </c>
      <c r="I22" s="3">
        <f>E22*239%</f>
        <v>119.5</v>
      </c>
      <c r="J22" s="3">
        <f>E22*0.16%</f>
        <v>0.08</v>
      </c>
      <c r="K22" s="3">
        <v>0</v>
      </c>
      <c r="L22" s="3">
        <v>0</v>
      </c>
      <c r="M22" s="3">
        <f>E22*23%</f>
        <v>11.5</v>
      </c>
      <c r="N22" s="3">
        <f>E22*87%</f>
        <v>43.5</v>
      </c>
      <c r="O22" s="3">
        <f>E22*33%</f>
        <v>16.5</v>
      </c>
      <c r="P22" s="3">
        <f>E22*2%</f>
        <v>1</v>
      </c>
      <c r="Q22" s="3">
        <v>50</v>
      </c>
      <c r="R22" s="3">
        <f>C22/1000*50</f>
        <v>2.5</v>
      </c>
    </row>
    <row r="23" spans="1:18" s="13" customFormat="1" ht="18">
      <c r="A23" s="22"/>
      <c r="B23" s="25" t="s">
        <v>38</v>
      </c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</row>
    <row r="24" spans="1:18" s="13" customFormat="1" ht="18">
      <c r="A24" s="5"/>
      <c r="B24" s="4" t="s">
        <v>19</v>
      </c>
      <c r="C24" s="3">
        <v>135</v>
      </c>
      <c r="D24" s="3">
        <v>0</v>
      </c>
      <c r="E24" s="3">
        <f>C24-D24</f>
        <v>135</v>
      </c>
      <c r="F24" s="3">
        <f>E24*1.5%</f>
        <v>2.0249999999999999</v>
      </c>
      <c r="G24" s="3">
        <f>E24*0.5%</f>
        <v>0.67500000000000004</v>
      </c>
      <c r="H24" s="3">
        <f>E24*21%</f>
        <v>28.349999999999998</v>
      </c>
      <c r="I24" s="3">
        <f>E24*96%</f>
        <v>129.6</v>
      </c>
      <c r="J24" s="3">
        <v>0</v>
      </c>
      <c r="K24" s="3">
        <v>8.6999999999999993</v>
      </c>
      <c r="L24" s="3">
        <v>3</v>
      </c>
      <c r="M24" s="3">
        <v>5</v>
      </c>
      <c r="N24" s="3">
        <v>22</v>
      </c>
      <c r="O24" s="3">
        <v>27</v>
      </c>
      <c r="P24" s="3">
        <v>0.3</v>
      </c>
      <c r="Q24" s="3">
        <v>122</v>
      </c>
      <c r="R24" s="3">
        <f>C24/1000*122</f>
        <v>16.470000000000002</v>
      </c>
    </row>
    <row r="25" spans="1:18" ht="18">
      <c r="A25" s="5"/>
      <c r="B25" s="35" t="s">
        <v>39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</row>
    <row r="26" spans="1:18" ht="18">
      <c r="A26" s="5"/>
      <c r="B26" s="4" t="s">
        <v>28</v>
      </c>
      <c r="C26" s="23">
        <v>3</v>
      </c>
      <c r="D26" s="3">
        <v>0</v>
      </c>
      <c r="E26" s="23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23">
        <f>C26/1000*20</f>
        <v>0.06</v>
      </c>
    </row>
    <row r="27" spans="1:18" ht="23.4">
      <c r="A27" s="5"/>
      <c r="B27" s="24" t="s">
        <v>19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>
        <v>60</v>
      </c>
    </row>
    <row r="28" spans="1:18">
      <c r="R28" s="6"/>
    </row>
    <row r="29" spans="1:18">
      <c r="R29" s="13"/>
    </row>
    <row r="30" spans="1:18">
      <c r="R30" s="13"/>
    </row>
  </sheetData>
  <mergeCells count="26">
    <mergeCell ref="B25:R25"/>
    <mergeCell ref="B2:B3"/>
    <mergeCell ref="A2:A3"/>
    <mergeCell ref="C2:C4"/>
    <mergeCell ref="J2:L2"/>
    <mergeCell ref="B5:R5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B15:R15"/>
    <mergeCell ref="M2:P2"/>
    <mergeCell ref="F2:F4"/>
    <mergeCell ref="L3:L4"/>
    <mergeCell ref="M3:M4"/>
    <mergeCell ref="N3:N4"/>
    <mergeCell ref="B23:R23"/>
    <mergeCell ref="B10:R10"/>
    <mergeCell ref="B21:R21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2022-01-13T14:42:14Z</dcterms:modified>
</cp:coreProperties>
</file>