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I25"/>
  <c r="G25"/>
  <c r="F25"/>
  <c r="D25"/>
  <c r="C25"/>
  <c r="R24"/>
  <c r="P24"/>
  <c r="P25" s="1"/>
  <c r="M24"/>
  <c r="M25" s="1"/>
  <c r="I24"/>
  <c r="H24"/>
  <c r="H25" s="1"/>
  <c r="R23"/>
  <c r="R25" s="1"/>
  <c r="E23"/>
  <c r="N23" s="1"/>
  <c r="R21"/>
  <c r="N21"/>
  <c r="M21"/>
  <c r="H21"/>
  <c r="G21"/>
  <c r="E21"/>
  <c r="O21" s="1"/>
  <c r="L19"/>
  <c r="C19"/>
  <c r="R18"/>
  <c r="J18"/>
  <c r="I18"/>
  <c r="G18"/>
  <c r="R17"/>
  <c r="D17"/>
  <c r="E17" s="1"/>
  <c r="R16"/>
  <c r="R19" s="1"/>
  <c r="E16"/>
  <c r="G16" s="1"/>
  <c r="R15"/>
  <c r="E15"/>
  <c r="O15" s="1"/>
  <c r="D15"/>
  <c r="D19" s="1"/>
  <c r="L13"/>
  <c r="C13"/>
  <c r="R12"/>
  <c r="E12"/>
  <c r="G12" s="1"/>
  <c r="R11"/>
  <c r="N11"/>
  <c r="M11"/>
  <c r="I11"/>
  <c r="H11"/>
  <c r="E11"/>
  <c r="O11" s="1"/>
  <c r="R10"/>
  <c r="D10"/>
  <c r="E10" s="1"/>
  <c r="R9"/>
  <c r="P9"/>
  <c r="M9"/>
  <c r="K9"/>
  <c r="H9"/>
  <c r="G9"/>
  <c r="E9"/>
  <c r="N9" s="1"/>
  <c r="R8"/>
  <c r="P8"/>
  <c r="M8"/>
  <c r="K8"/>
  <c r="H8"/>
  <c r="G8"/>
  <c r="E8"/>
  <c r="N8" s="1"/>
  <c r="R7"/>
  <c r="D7"/>
  <c r="E7" s="1"/>
  <c r="R6"/>
  <c r="R13" s="1"/>
  <c r="D6"/>
  <c r="D13" s="1"/>
  <c r="M17" l="1"/>
  <c r="H17"/>
  <c r="O17"/>
  <c r="O19" s="1"/>
  <c r="F17"/>
  <c r="K17"/>
  <c r="N17"/>
  <c r="I17"/>
  <c r="J17"/>
  <c r="P17"/>
  <c r="G17"/>
  <c r="N7"/>
  <c r="I7"/>
  <c r="P7"/>
  <c r="G7"/>
  <c r="M7"/>
  <c r="O7"/>
  <c r="J7"/>
  <c r="F7"/>
  <c r="K7"/>
  <c r="H7"/>
  <c r="N10"/>
  <c r="I10"/>
  <c r="P10"/>
  <c r="F10"/>
  <c r="M10"/>
  <c r="O10"/>
  <c r="J10"/>
  <c r="K10"/>
  <c r="H10"/>
  <c r="R31"/>
  <c r="I15"/>
  <c r="I23"/>
  <c r="H23"/>
  <c r="P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N15"/>
  <c r="N19" s="1"/>
  <c r="E19"/>
  <c r="M23"/>
  <c r="I27"/>
  <c r="J12"/>
  <c r="H15"/>
  <c r="M15"/>
  <c r="M19" s="1"/>
  <c r="J16"/>
  <c r="L23"/>
  <c r="H27"/>
  <c r="I8"/>
  <c r="I9"/>
  <c r="J11"/>
  <c r="F15"/>
  <c r="F19" s="1"/>
  <c r="J15"/>
  <c r="I21"/>
  <c r="F23"/>
  <c r="J23"/>
  <c r="G19" l="1"/>
  <c r="H13"/>
  <c r="O6"/>
  <c r="O13" s="1"/>
  <c r="I6"/>
  <c r="I13" s="1"/>
  <c r="F6"/>
  <c r="F13" s="1"/>
  <c r="G6"/>
  <c r="G13" s="1"/>
  <c r="P6"/>
  <c r="P13" s="1"/>
  <c r="J6"/>
  <c r="J13" s="1"/>
  <c r="M6"/>
  <c r="M13" s="1"/>
  <c r="N6"/>
  <c r="N13" s="1"/>
  <c r="H19"/>
  <c r="J19"/>
  <c r="K19"/>
  <c r="I19"/>
  <c r="K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<sst xmlns="http://schemas.openxmlformats.org/spreadsheetml/2006/main" count="49" uniqueCount="42">
  <si>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</si>
  <si>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</si>
  <si>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</si>
  <si>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</si>
  <si>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</si>
  <si>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</si>
  <si>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</si>
  <si>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</si>
  <si>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</si>
  <si>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</si>
  <si>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</si>
  <si>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</si>
  <si>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</si>
  <si>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</si>
  <si>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</si>
  <si>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</si>
  <si>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</si>
  <si>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</si>
  <si>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</si>
  <si>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</si>
  <si>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</si>
  <si>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</si>
  <si>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капуста</t>
  </si>
  <si>
    <t>морковь</t>
  </si>
  <si>
    <t>зел.горох</t>
  </si>
  <si>
    <t>растит. масло</t>
  </si>
  <si>
    <t>6.соль</t>
  </si>
  <si>
    <t xml:space="preserve"> всего грамм</t>
  </si>
  <si>
    <t>1.суп с картофелем,мясными фрикадельками</t>
  </si>
  <si>
    <t>мясо говядины</t>
  </si>
  <si>
    <t>картофель</t>
  </si>
  <si>
    <t xml:space="preserve">рис </t>
  </si>
  <si>
    <t>лук</t>
  </si>
  <si>
    <t>томат</t>
  </si>
  <si>
    <t>масло растительное</t>
  </si>
  <si>
    <t>2.салат из овощей</t>
  </si>
  <si>
    <t>3.хлеб</t>
  </si>
  <si>
    <t>4.чай</t>
  </si>
  <si>
    <t>чай</t>
  </si>
  <si>
    <t>сахар</t>
  </si>
  <si>
    <t>5.бананы</t>
  </si>
  <si>
    <t>11.01.2022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</si>
</sst>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164" fontId="0" fillId="0" borderId="1" xfId="0" applyNumberFormat="1" applyBorder="1"/>
    <xf numFmtId="0" fontId="17" fillId="2" borderId="1" xfId="1" applyNumberFormat="1" applyFont="1" applyFill="1" applyBorder="1" applyAlignment="1" applyProtection="1">
      <alignment vertical="center" wrapText="1"/>
    </xf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9" fillId="0" borderId="1" xfId="1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Border="1"/>
    <xf numFmtId="0" fontId="16" fillId="0" borderId="2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16" fillId="0" borderId="6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1" fontId="18" fillId="0" borderId="1" xfId="0" applyNumberFormat="1" applyFont="1" applyBorder="1"/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19" fillId="0" borderId="1" xfId="0" applyFont="1" applyBorder="1"/>
    <xf numFmtId="2" fontId="20" fillId="0" borderId="1" xfId="0" applyNumberFormat="1" applyFont="1" applyBorder="1" applyAlignment="1">
      <alignment vertical="center"/>
    </xf>
    <xf numFmtId="1" fontId="21" fillId="0" borderId="1" xfId="0" applyNumberFormat="1" applyFont="1" applyBorder="1"/>
    <xf numFmtId="2" fontId="21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2" fillId="0" borderId="1" xfId="0" applyNumberFormat="1" applyFont="1" applyBorder="1"/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topLeftCell="A10" workbookViewId="0">
      <selection activeCell="S20" sqref="S20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20</v>
      </c>
      <c r="C1" s="18"/>
      <c r="D1" s="18"/>
      <c r="E1" s="18"/>
      <c r="F1" s="18"/>
      <c r="G1" s="18"/>
      <c r="H1" s="18"/>
      <c r="I1" s="18" t="s">
        <v>1</v>
      </c>
      <c r="J1" s="19" t="s">
        <v>41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32"/>
      <c r="B2" s="31" t="s">
        <v>5</v>
      </c>
      <c r="C2" s="37" t="s">
        <v>27</v>
      </c>
      <c r="D2" s="38" t="s">
        <v>6</v>
      </c>
      <c r="E2" s="38" t="s">
        <v>7</v>
      </c>
      <c r="F2" s="34" t="s">
        <v>2</v>
      </c>
      <c r="G2" s="34" t="s">
        <v>3</v>
      </c>
      <c r="H2" s="28" t="s">
        <v>4</v>
      </c>
      <c r="I2" s="34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4" t="s">
        <v>11</v>
      </c>
      <c r="R2" s="40" t="s">
        <v>21</v>
      </c>
    </row>
    <row r="3" spans="1:18" ht="24" customHeight="1">
      <c r="A3" s="33"/>
      <c r="B3" s="31"/>
      <c r="C3" s="41"/>
      <c r="D3" s="42"/>
      <c r="E3" s="42"/>
      <c r="F3" s="35"/>
      <c r="G3" s="35"/>
      <c r="H3" s="29"/>
      <c r="I3" s="35"/>
      <c r="J3" s="34" t="s">
        <v>12</v>
      </c>
      <c r="K3" s="38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43"/>
    </row>
    <row r="4" spans="1:18" ht="24" customHeight="1">
      <c r="A4" s="44"/>
      <c r="B4" s="45"/>
      <c r="C4" s="46"/>
      <c r="D4" s="47"/>
      <c r="E4" s="47"/>
      <c r="F4" s="36"/>
      <c r="G4" s="36"/>
      <c r="H4" s="30"/>
      <c r="I4" s="36"/>
      <c r="J4" s="36"/>
      <c r="K4" s="47"/>
      <c r="L4" s="36"/>
      <c r="M4" s="36"/>
      <c r="N4" s="36"/>
      <c r="O4" s="36"/>
      <c r="P4" s="36"/>
      <c r="Q4" s="36"/>
      <c r="R4" s="48"/>
    </row>
    <row r="5" spans="1:18" s="6" customFormat="1" ht="19.2" customHeight="1">
      <c r="A5" s="49"/>
      <c r="B5" s="50" t="s">
        <v>28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s="7" customFormat="1" ht="22.2" customHeight="1">
      <c r="A6" s="15"/>
      <c r="B6" s="14" t="s">
        <v>29</v>
      </c>
      <c r="C6" s="2">
        <v>70</v>
      </c>
      <c r="D6" s="2">
        <f>C6*26.4%</f>
        <v>18.48</v>
      </c>
      <c r="E6" s="2">
        <f>SUM(C6-D6)</f>
        <v>51.519999999999996</v>
      </c>
      <c r="F6" s="2">
        <f>E6*18.6%</f>
        <v>9.5827200000000001</v>
      </c>
      <c r="G6" s="2">
        <f>E6*16%</f>
        <v>8.2431999999999999</v>
      </c>
      <c r="H6" s="2">
        <v>0</v>
      </c>
      <c r="I6" s="2">
        <f>E6*218%</f>
        <v>112.31359999999999</v>
      </c>
      <c r="J6" s="2">
        <f>E6*0.06%</f>
        <v>3.0911999999999995E-2</v>
      </c>
      <c r="K6" s="2">
        <v>0</v>
      </c>
      <c r="L6" s="2">
        <v>0</v>
      </c>
      <c r="M6" s="2">
        <f>E6*9%</f>
        <v>4.6367999999999991</v>
      </c>
      <c r="N6" s="2">
        <f>E6*188%</f>
        <v>96.857599999999991</v>
      </c>
      <c r="O6" s="2">
        <f>E6*22%</f>
        <v>11.334399999999999</v>
      </c>
      <c r="P6" s="2">
        <f>E6*2.7%</f>
        <v>1.3910400000000001</v>
      </c>
      <c r="Q6" s="2">
        <v>475</v>
      </c>
      <c r="R6" s="2">
        <f>C6/1000*475</f>
        <v>33.25</v>
      </c>
    </row>
    <row r="7" spans="1:18" s="8" customFormat="1" ht="19.2" customHeight="1">
      <c r="A7" s="27"/>
      <c r="B7" s="14" t="s">
        <v>30</v>
      </c>
      <c r="C7" s="2">
        <v>50</v>
      </c>
      <c r="D7" s="2">
        <f>C7*0.25</f>
        <v>12.5</v>
      </c>
      <c r="E7" s="2">
        <f>C7-D7</f>
        <v>37.5</v>
      </c>
      <c r="F7" s="2">
        <f>E7*2%</f>
        <v>0.75</v>
      </c>
      <c r="G7" s="2">
        <f>E7*0.4%</f>
        <v>0.15</v>
      </c>
      <c r="H7" s="2">
        <f>E7*16.3%</f>
        <v>6.1124999999999998</v>
      </c>
      <c r="I7" s="2">
        <f>E7*80%</f>
        <v>30</v>
      </c>
      <c r="J7" s="2">
        <f>E7*0.12%</f>
        <v>4.4999999999999998E-2</v>
      </c>
      <c r="K7" s="2">
        <f>E7*20%</f>
        <v>7.5</v>
      </c>
      <c r="L7" s="2">
        <v>0</v>
      </c>
      <c r="M7" s="2">
        <f>E7*10%</f>
        <v>3.75</v>
      </c>
      <c r="N7" s="2">
        <f>E7*58%</f>
        <v>21.75</v>
      </c>
      <c r="O7" s="2">
        <f>E7*23%</f>
        <v>8.625</v>
      </c>
      <c r="P7" s="2">
        <f>E7*0.9%</f>
        <v>0.33750000000000002</v>
      </c>
      <c r="Q7" s="2">
        <v>57</v>
      </c>
      <c r="R7" s="2">
        <f>C7/1000*57</f>
        <v>2.85</v>
      </c>
    </row>
    <row r="8" spans="1:18" s="7" customFormat="1" ht="22.2" customHeight="1">
      <c r="A8" s="15"/>
      <c r="B8" s="14" t="s">
        <v>23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60</v>
      </c>
      <c r="R8" s="2">
        <f>C8/1000*60</f>
        <v>0.6</v>
      </c>
    </row>
    <row r="9" spans="1:18" s="7" customFormat="1" ht="22.2" customHeight="1">
      <c r="A9" s="5"/>
      <c r="B9" s="14" t="s">
        <v>31</v>
      </c>
      <c r="C9" s="2">
        <v>15</v>
      </c>
      <c r="D9" s="2">
        <v>0</v>
      </c>
      <c r="E9" s="2">
        <f>C9-D9</f>
        <v>15</v>
      </c>
      <c r="F9" s="2">
        <f>E9*2%</f>
        <v>0.3</v>
      </c>
      <c r="G9" s="2">
        <f>E9*0.4%</f>
        <v>0.06</v>
      </c>
      <c r="H9" s="2">
        <f>E9*16.3%</f>
        <v>2.4450000000000003</v>
      </c>
      <c r="I9" s="2">
        <f>E9*80%</f>
        <v>12</v>
      </c>
      <c r="J9" s="2">
        <f>E9*0.12%</f>
        <v>1.7999999999999999E-2</v>
      </c>
      <c r="K9" s="2">
        <f>E9*20%</f>
        <v>3</v>
      </c>
      <c r="L9" s="2">
        <v>0</v>
      </c>
      <c r="M9" s="2">
        <f>E9*10%</f>
        <v>1.5</v>
      </c>
      <c r="N9" s="2">
        <f>E9*58%</f>
        <v>8.6999999999999993</v>
      </c>
      <c r="O9" s="2">
        <f>E9*23%</f>
        <v>3.45</v>
      </c>
      <c r="P9" s="2">
        <f>E9*0.9%</f>
        <v>0.13500000000000001</v>
      </c>
      <c r="Q9" s="2">
        <v>75</v>
      </c>
      <c r="R9" s="2">
        <f>C9/1000*75</f>
        <v>1.125</v>
      </c>
    </row>
    <row r="10" spans="1:18" s="9" customFormat="1" ht="22.2" customHeight="1">
      <c r="A10" s="15"/>
      <c r="B10" s="14" t="s">
        <v>32</v>
      </c>
      <c r="C10" s="2">
        <v>12</v>
      </c>
      <c r="D10" s="2">
        <f>C10*0.16</f>
        <v>1.92</v>
      </c>
      <c r="E10" s="2">
        <f>C10-D10</f>
        <v>10.08</v>
      </c>
      <c r="F10" s="2">
        <f>E10*1.4%</f>
        <v>0.14112</v>
      </c>
      <c r="G10">
        <v>0</v>
      </c>
      <c r="H10" s="2">
        <f>E10*9.1%</f>
        <v>0.91727999999999998</v>
      </c>
      <c r="I10" s="2">
        <f>E10*41%</f>
        <v>4.1327999999999996</v>
      </c>
      <c r="J10" s="2">
        <f>E10*0.05%</f>
        <v>5.0400000000000002E-3</v>
      </c>
      <c r="K10" s="2">
        <f>E10*10%</f>
        <v>1.008</v>
      </c>
      <c r="L10" s="2">
        <v>0</v>
      </c>
      <c r="M10" s="2">
        <f>E10*31%</f>
        <v>3.1248</v>
      </c>
      <c r="N10" s="2">
        <f>E10*58%</f>
        <v>5.8464</v>
      </c>
      <c r="O10" s="2">
        <f>E10*14%</f>
        <v>1.4112000000000002</v>
      </c>
      <c r="P10" s="2">
        <f>E10*0.8%</f>
        <v>8.0640000000000003E-2</v>
      </c>
      <c r="Q10" s="2">
        <v>40</v>
      </c>
      <c r="R10" s="2">
        <f>C10/1000*40</f>
        <v>0.48</v>
      </c>
    </row>
    <row r="11" spans="1:18" s="6" customFormat="1">
      <c r="A11" s="53"/>
      <c r="B11" s="54" t="s">
        <v>33</v>
      </c>
      <c r="C11" s="54">
        <v>3</v>
      </c>
      <c r="D11" s="54">
        <v>0</v>
      </c>
      <c r="E11" s="54">
        <f>SUM(C11:D11)</f>
        <v>3</v>
      </c>
      <c r="F11" s="54">
        <f>E11*1%</f>
        <v>0.03</v>
      </c>
      <c r="G11" s="54">
        <v>0</v>
      </c>
      <c r="H11" s="54">
        <f>E11*3.5%</f>
        <v>0.10500000000000001</v>
      </c>
      <c r="I11" s="54">
        <f>E11*19%</f>
        <v>0.57000000000000006</v>
      </c>
      <c r="J11" s="54">
        <f>E11*0.03%</f>
        <v>8.9999999999999998E-4</v>
      </c>
      <c r="K11" s="54">
        <f>E11*10%</f>
        <v>0.30000000000000004</v>
      </c>
      <c r="L11" s="54">
        <v>0</v>
      </c>
      <c r="M11" s="54">
        <f>C11*7%</f>
        <v>0.21000000000000002</v>
      </c>
      <c r="N11" s="54">
        <f>E11*32%</f>
        <v>0.96</v>
      </c>
      <c r="O11" s="54">
        <f>E11*12%</f>
        <v>0.36</v>
      </c>
      <c r="P11" s="54">
        <f>E11*0.7%</f>
        <v>2.0999999999999998E-2</v>
      </c>
      <c r="Q11" s="54">
        <v>150</v>
      </c>
      <c r="R11" s="54">
        <f>C11/1000*150</f>
        <v>0.45</v>
      </c>
    </row>
    <row r="12" spans="1:18" s="10" customFormat="1" ht="22.2" customHeight="1">
      <c r="A12" s="15"/>
      <c r="B12" s="14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150</v>
      </c>
      <c r="R12" s="2">
        <f>C12/1000*150</f>
        <v>0.75</v>
      </c>
    </row>
    <row r="13" spans="1:18" s="11" customFormat="1" ht="22.2" customHeight="1">
      <c r="A13" s="5"/>
      <c r="B13" s="4" t="s">
        <v>19</v>
      </c>
      <c r="C13" s="3">
        <f t="shared" ref="C13:D13" si="0">SUM(C6:C12)</f>
        <v>165</v>
      </c>
      <c r="D13" s="3">
        <f t="shared" si="0"/>
        <v>37.900000000000006</v>
      </c>
      <c r="E13" s="3">
        <v>250</v>
      </c>
      <c r="F13" s="3">
        <f t="shared" ref="F13:P13" si="1">SUM(F6:F12)</f>
        <v>10.868840000000001</v>
      </c>
      <c r="G13" s="3">
        <f t="shared" si="1"/>
        <v>13.453200000000002</v>
      </c>
      <c r="H13" s="3">
        <f t="shared" si="1"/>
        <v>9.9397800000000007</v>
      </c>
      <c r="I13" s="3">
        <f t="shared" si="1"/>
        <v>160.9659</v>
      </c>
      <c r="J13" s="3">
        <f t="shared" si="1"/>
        <v>0.105852</v>
      </c>
      <c r="K13" s="3">
        <f t="shared" si="1"/>
        <v>12.058</v>
      </c>
      <c r="L13" s="3">
        <f t="shared" si="1"/>
        <v>0</v>
      </c>
      <c r="M13" s="3">
        <f t="shared" si="1"/>
        <v>15.771599999999999</v>
      </c>
      <c r="N13" s="3">
        <f t="shared" si="1"/>
        <v>136.86399999999998</v>
      </c>
      <c r="O13" s="3">
        <f t="shared" si="1"/>
        <v>27.080599999999997</v>
      </c>
      <c r="P13" s="3">
        <f t="shared" si="1"/>
        <v>2.0001800000000003</v>
      </c>
      <c r="Q13" s="3"/>
      <c r="R13" s="3">
        <f>SUM(R6:R12)</f>
        <v>39.505000000000003</v>
      </c>
    </row>
    <row r="14" spans="1:18" s="11" customFormat="1" ht="21">
      <c r="A14" s="55"/>
      <c r="B14" s="56" t="s">
        <v>35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</row>
    <row r="15" spans="1:18" s="11" customFormat="1" ht="18">
      <c r="A15" s="27"/>
      <c r="B15" s="22" t="s">
        <v>23</v>
      </c>
      <c r="C15" s="2">
        <v>10</v>
      </c>
      <c r="D15" s="2">
        <f>C15*0.2</f>
        <v>2</v>
      </c>
      <c r="E15" s="2">
        <f>C15-D15</f>
        <v>8</v>
      </c>
      <c r="F15" s="2">
        <f>E15*1.3%</f>
        <v>0.10400000000000001</v>
      </c>
      <c r="G15" s="21">
        <f>E15*0.001</f>
        <v>8.0000000000000002E-3</v>
      </c>
      <c r="H15" s="2">
        <f>E15*0.072</f>
        <v>0.57599999999999996</v>
      </c>
      <c r="I15" s="2">
        <f>E15*0.3</f>
        <v>2.4</v>
      </c>
      <c r="J15" s="2">
        <f>E15*0.06%</f>
        <v>4.7999999999999996E-3</v>
      </c>
      <c r="K15" s="2">
        <f>E15*5%</f>
        <v>0.4</v>
      </c>
      <c r="L15" s="2">
        <v>0</v>
      </c>
      <c r="M15" s="2">
        <f>E15*51%</f>
        <v>4.08</v>
      </c>
      <c r="N15" s="2">
        <f>E15*55%</f>
        <v>4.4000000000000004</v>
      </c>
      <c r="O15" s="2">
        <f>E15*38%</f>
        <v>3.04</v>
      </c>
      <c r="P15" s="2">
        <f>E15*0.7%</f>
        <v>5.5999999999999994E-2</v>
      </c>
      <c r="Q15" s="2">
        <v>60</v>
      </c>
      <c r="R15" s="14">
        <f>C15/1000*60</f>
        <v>0.6</v>
      </c>
    </row>
    <row r="16" spans="1:18" s="11" customFormat="1" ht="18">
      <c r="A16" s="23"/>
      <c r="B16" s="22" t="s">
        <v>24</v>
      </c>
      <c r="C16" s="24">
        <v>6</v>
      </c>
      <c r="D16" s="24">
        <v>0</v>
      </c>
      <c r="E16" s="24">
        <f>C16-D16</f>
        <v>6</v>
      </c>
      <c r="F16" s="24">
        <v>0</v>
      </c>
      <c r="G16" s="25">
        <f>E16*0.999</f>
        <v>5.9939999999999998</v>
      </c>
      <c r="H16" s="24">
        <v>0</v>
      </c>
      <c r="I16" s="24">
        <f>E16*8.99</f>
        <v>53.94</v>
      </c>
      <c r="J16" s="24">
        <f>E16*0.06%</f>
        <v>3.5999999999999999E-3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180</v>
      </c>
      <c r="R16" s="24">
        <f>C16/1000*180</f>
        <v>1.08</v>
      </c>
    </row>
    <row r="17" spans="1:18" s="11" customFormat="1" ht="18">
      <c r="A17" s="27"/>
      <c r="B17" s="22" t="s">
        <v>22</v>
      </c>
      <c r="C17" s="2">
        <v>25</v>
      </c>
      <c r="D17" s="2">
        <f>C17*0.2</f>
        <v>5</v>
      </c>
      <c r="E17" s="2">
        <f>C17-D17</f>
        <v>20</v>
      </c>
      <c r="F17" s="2">
        <f>E17*0.018</f>
        <v>0.36</v>
      </c>
      <c r="G17" s="21">
        <f>E17*0.001</f>
        <v>0.02</v>
      </c>
      <c r="H17" s="2">
        <f>E17*0.047</f>
        <v>0.94</v>
      </c>
      <c r="I17" s="2">
        <f>E17*0.27</f>
        <v>5.4</v>
      </c>
      <c r="J17" s="2">
        <f>E17*0.03%</f>
        <v>5.9999999999999993E-3</v>
      </c>
      <c r="K17" s="2">
        <f>E17*45%</f>
        <v>9</v>
      </c>
      <c r="L17" s="2">
        <v>0</v>
      </c>
      <c r="M17" s="2">
        <f>E17*48%</f>
        <v>9.6</v>
      </c>
      <c r="N17" s="2">
        <f>E17*31%</f>
        <v>6.2</v>
      </c>
      <c r="O17" s="2">
        <f>E17*16%</f>
        <v>3.2</v>
      </c>
      <c r="P17" s="2">
        <f>E17*0.6%</f>
        <v>0.12</v>
      </c>
      <c r="Q17" s="2">
        <v>50</v>
      </c>
      <c r="R17" s="14">
        <f>C17/1000*50</f>
        <v>1.25</v>
      </c>
    </row>
    <row r="18" spans="1:18" s="11" customFormat="1" ht="31.2">
      <c r="A18" s="27"/>
      <c r="B18" s="22" t="s">
        <v>25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150</v>
      </c>
      <c r="R18" s="14">
        <f>C18/1000*150</f>
        <v>0.75</v>
      </c>
    </row>
    <row r="19" spans="1:18" s="12" customFormat="1" ht="18">
      <c r="A19" s="27"/>
      <c r="B19" s="26" t="s">
        <v>19</v>
      </c>
      <c r="C19" s="59">
        <f>SUM(C15:C18)</f>
        <v>46</v>
      </c>
      <c r="D19" s="59">
        <f t="shared" ref="D19:P19" si="2">SUM(D15:D18)</f>
        <v>7</v>
      </c>
      <c r="E19" s="59">
        <f t="shared" si="2"/>
        <v>37</v>
      </c>
      <c r="F19" s="59">
        <f t="shared" si="2"/>
        <v>0.46399999999999997</v>
      </c>
      <c r="G19" s="59">
        <f t="shared" si="2"/>
        <v>9.0189999999999984</v>
      </c>
      <c r="H19" s="59">
        <f t="shared" si="2"/>
        <v>1.516</v>
      </c>
      <c r="I19" s="59">
        <f t="shared" si="2"/>
        <v>62.009699999999995</v>
      </c>
      <c r="J19" s="59">
        <f t="shared" si="2"/>
        <v>1.6199999999999999E-2</v>
      </c>
      <c r="K19" s="59">
        <f t="shared" si="2"/>
        <v>9.4</v>
      </c>
      <c r="L19" s="59">
        <f t="shared" si="2"/>
        <v>0</v>
      </c>
      <c r="M19" s="59">
        <f t="shared" si="2"/>
        <v>13.68</v>
      </c>
      <c r="N19" s="59">
        <f t="shared" si="2"/>
        <v>10.600000000000001</v>
      </c>
      <c r="O19" s="59">
        <f t="shared" si="2"/>
        <v>6.24</v>
      </c>
      <c r="P19" s="59">
        <f t="shared" si="2"/>
        <v>0.17599999999999999</v>
      </c>
      <c r="Q19" s="59"/>
      <c r="R19" s="59">
        <f>SUM(R15:R18)</f>
        <v>3.68</v>
      </c>
    </row>
    <row r="20" spans="1:18" s="13" customFormat="1" ht="21">
      <c r="A20" s="49"/>
      <c r="B20" s="60" t="s">
        <v>36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</row>
    <row r="21" spans="1:18" s="13" customFormat="1" ht="18">
      <c r="A21" s="27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s="6" customFormat="1" ht="21">
      <c r="A22" s="49"/>
      <c r="B22" s="60" t="s">
        <v>37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</row>
    <row r="23" spans="1:18" s="13" customFormat="1" ht="18">
      <c r="A23" s="5"/>
      <c r="B23" s="2" t="s">
        <v>38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950</v>
      </c>
      <c r="R23" s="2">
        <f>C23/1000*950</f>
        <v>0.95000000000000007</v>
      </c>
    </row>
    <row r="24" spans="1:18" s="13" customFormat="1" ht="18">
      <c r="A24" s="27"/>
      <c r="B24" s="2" t="s">
        <v>39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s="13" customFormat="1" ht="18">
      <c r="A25" s="27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3">SUM(F24:F24)</f>
        <v>0</v>
      </c>
      <c r="G25" s="3">
        <f t="shared" si="3"/>
        <v>0</v>
      </c>
      <c r="H25" s="3">
        <f t="shared" si="3"/>
        <v>14.97</v>
      </c>
      <c r="I25" s="3">
        <f t="shared" si="3"/>
        <v>56.85</v>
      </c>
      <c r="J25" s="3">
        <f t="shared" si="3"/>
        <v>0</v>
      </c>
      <c r="K25" s="3">
        <f t="shared" si="3"/>
        <v>0</v>
      </c>
      <c r="L25" s="3">
        <f t="shared" si="3"/>
        <v>0</v>
      </c>
      <c r="M25" s="3">
        <f t="shared" si="3"/>
        <v>0.3</v>
      </c>
      <c r="N25" s="3">
        <f t="shared" si="3"/>
        <v>0</v>
      </c>
      <c r="O25" s="3">
        <f t="shared" si="3"/>
        <v>0</v>
      </c>
      <c r="P25" s="3">
        <f t="shared" si="3"/>
        <v>4.4999999999999998E-2</v>
      </c>
      <c r="Q25" s="3"/>
      <c r="R25" s="3">
        <f>SUM(R23:R24)</f>
        <v>1.85</v>
      </c>
    </row>
    <row r="26" spans="1:18" ht="21">
      <c r="A26" s="5"/>
      <c r="B26" s="56" t="s">
        <v>40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</row>
    <row r="27" spans="1:18" ht="18">
      <c r="A27" s="5"/>
      <c r="B27" s="4" t="s">
        <v>19</v>
      </c>
      <c r="C27" s="3">
        <v>110</v>
      </c>
      <c r="D27" s="3">
        <v>0</v>
      </c>
      <c r="E27" s="3">
        <f>C27-D27</f>
        <v>110</v>
      </c>
      <c r="F27" s="3">
        <f>E27*1.5%</f>
        <v>1.65</v>
      </c>
      <c r="G27" s="3">
        <f>E27*0.5%</f>
        <v>0.55000000000000004</v>
      </c>
      <c r="H27" s="3">
        <f>E27*21%</f>
        <v>23.099999999999998</v>
      </c>
      <c r="I27" s="3">
        <f>E27*96%</f>
        <v>105.6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122</v>
      </c>
      <c r="R27" s="3">
        <f>C27/1000*122</f>
        <v>13.42</v>
      </c>
    </row>
    <row r="28" spans="1:18" ht="21">
      <c r="A28" s="49"/>
      <c r="B28" s="65" t="s">
        <v>26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</row>
    <row r="29" spans="1:18" ht="18">
      <c r="A29" s="27"/>
      <c r="B29" s="4" t="s">
        <v>19</v>
      </c>
      <c r="C29" s="16">
        <v>3</v>
      </c>
      <c r="D29" s="3">
        <v>0</v>
      </c>
      <c r="E29" s="1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16">
        <f>C29/1000*20</f>
        <v>0.06</v>
      </c>
    </row>
    <row r="30" spans="1:18" ht="18">
      <c r="A30" s="27"/>
      <c r="B30" s="4"/>
      <c r="C30" s="16"/>
      <c r="D30" s="3"/>
      <c r="E30" s="1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6"/>
    </row>
    <row r="31" spans="1:18" ht="23.4">
      <c r="A31" s="27"/>
      <c r="B31" s="17" t="s">
        <v>19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>
        <f>R29+R27+R25+R21+R19+R13</f>
        <v>61.015000000000001</v>
      </c>
    </row>
  </sheetData>
  <mergeCells count="26">
    <mergeCell ref="B26:R26"/>
    <mergeCell ref="B28:R28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F2:F4"/>
    <mergeCell ref="B2:B3"/>
    <mergeCell ref="L3:L4"/>
    <mergeCell ref="M3:M4"/>
    <mergeCell ref="N3:N4"/>
    <mergeCell ref="B14:R14"/>
    <mergeCell ref="B20:R20"/>
    <mergeCell ref="B22:R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2022-01-11T06:06:48Z</dcterms:modified>
</cp:coreProperties>
</file>