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3" s="1"/>
  <c r="R29"/>
  <c r="E29"/>
  <c r="R27"/>
  <c r="P27"/>
  <c r="O27"/>
  <c r="N27"/>
  <c r="M27"/>
  <c r="K27"/>
  <c r="J27"/>
  <c r="I27"/>
  <c r="H27"/>
  <c r="G27"/>
  <c r="F27"/>
  <c r="R25"/>
  <c r="F25"/>
  <c r="E25"/>
  <c r="P25" s="1"/>
  <c r="O23"/>
  <c r="N23"/>
  <c r="L23"/>
  <c r="K23"/>
  <c r="J23"/>
  <c r="G23"/>
  <c r="F23"/>
  <c r="C23"/>
  <c r="P23"/>
  <c r="M23"/>
  <c r="I23"/>
  <c r="H23"/>
  <c r="R23"/>
  <c r="R19"/>
  <c r="P19"/>
  <c r="O19"/>
  <c r="N19"/>
  <c r="M19"/>
  <c r="J19"/>
  <c r="I19"/>
  <c r="H19"/>
  <c r="G19"/>
  <c r="F19"/>
  <c r="L17"/>
  <c r="C17"/>
  <c r="E16"/>
  <c r="G16" s="1"/>
  <c r="E15"/>
  <c r="I15" s="1"/>
  <c r="E14"/>
  <c r="P14" s="1"/>
  <c r="D14"/>
  <c r="R13"/>
  <c r="F13"/>
  <c r="E13"/>
  <c r="M13" s="1"/>
  <c r="D13"/>
  <c r="D12"/>
  <c r="E12" s="1"/>
  <c r="C10"/>
  <c r="R9"/>
  <c r="P9"/>
  <c r="O9"/>
  <c r="N9"/>
  <c r="M9"/>
  <c r="L9"/>
  <c r="L10" s="1"/>
  <c r="J9"/>
  <c r="I9"/>
  <c r="H9"/>
  <c r="G9"/>
  <c r="F9"/>
  <c r="D9"/>
  <c r="R8"/>
  <c r="D8"/>
  <c r="E8" s="1"/>
  <c r="E7"/>
  <c r="N7" s="1"/>
  <c r="D7"/>
  <c r="E6"/>
  <c r="I6" s="1"/>
  <c r="J13" l="1"/>
  <c r="D10"/>
  <c r="N8"/>
  <c r="N10" s="1"/>
  <c r="F8"/>
  <c r="K8"/>
  <c r="P8"/>
  <c r="N12"/>
  <c r="K12"/>
  <c r="G12"/>
  <c r="O12"/>
  <c r="F12"/>
  <c r="P12"/>
  <c r="J12"/>
  <c r="J7"/>
  <c r="R17"/>
  <c r="J16"/>
  <c r="N25"/>
  <c r="K7"/>
  <c r="D17"/>
  <c r="R10"/>
  <c r="G7"/>
  <c r="P7"/>
  <c r="P10" s="1"/>
  <c r="F7"/>
  <c r="O7"/>
  <c r="O13"/>
  <c r="I16"/>
  <c r="J25"/>
  <c r="E10"/>
  <c r="I14"/>
  <c r="J6"/>
  <c r="J8"/>
  <c r="N13"/>
  <c r="H14"/>
  <c r="G6"/>
  <c r="H7"/>
  <c r="M7"/>
  <c r="H8"/>
  <c r="M8"/>
  <c r="H12"/>
  <c r="M12"/>
  <c r="G13"/>
  <c r="K13"/>
  <c r="P13"/>
  <c r="P17" s="1"/>
  <c r="F14"/>
  <c r="F17" s="1"/>
  <c r="J14"/>
  <c r="O14"/>
  <c r="O17" s="1"/>
  <c r="G15"/>
  <c r="G25"/>
  <c r="K25"/>
  <c r="O25"/>
  <c r="N14"/>
  <c r="N17" s="1"/>
  <c r="E17"/>
  <c r="O8"/>
  <c r="I13"/>
  <c r="M14"/>
  <c r="J15"/>
  <c r="I25"/>
  <c r="M25"/>
  <c r="K10"/>
  <c r="I7"/>
  <c r="I8"/>
  <c r="I12"/>
  <c r="H13"/>
  <c r="G14"/>
  <c r="K14"/>
  <c r="H25"/>
  <c r="L25"/>
  <c r="K17" l="1"/>
  <c r="F10"/>
  <c r="H17"/>
  <c r="G17"/>
  <c r="J17"/>
  <c r="O10"/>
  <c r="M10"/>
  <c r="I10"/>
  <c r="I17"/>
  <c r="G10"/>
  <c r="M17"/>
  <c r="J10"/>
  <c r="H10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<sst xmlns="http://schemas.openxmlformats.org/spreadsheetml/2006/main" count="47" uniqueCount="40">
  <si>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</si>
  <si>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</si>
  <si>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</si>
  <si>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</si>
  <si>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</si>
  <si>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</si>
  <si>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</si>
  <si>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</si>
  <si>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</si>
  <si>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</si>
  <si>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</si>
  <si>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</si>
  <si>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</si>
  <si>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</si>
  <si>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</si>
  <si>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</si>
  <si>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</si>
  <si>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</si>
  <si>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</si>
  <si>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</si>
  <si>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морковь</t>
  </si>
  <si>
    <t>МБОУ "Урагинская СОШ"</t>
  </si>
  <si>
    <t xml:space="preserve"> всего грамм</t>
  </si>
  <si>
    <t>сумма</t>
  </si>
  <si>
    <t>растит. масло</t>
  </si>
  <si>
    <t>2.салат овощной</t>
  </si>
  <si>
    <t>картофель</t>
  </si>
  <si>
    <t>зел.горох</t>
  </si>
  <si>
    <t>3.хлеб</t>
  </si>
  <si>
    <t>5.печенье</t>
  </si>
  <si>
    <t>6.яблоки</t>
  </si>
  <si>
    <t>7.соль</t>
  </si>
  <si>
    <t>27.12.2021 г</t>
  </si>
  <si>
    <t>1.Молочный суп</t>
  </si>
  <si>
    <t>молоко</t>
  </si>
  <si>
    <t xml:space="preserve">крупа пшеничная </t>
  </si>
  <si>
    <t>соль</t>
  </si>
  <si>
    <t>капуста</t>
  </si>
  <si>
    <t xml:space="preserve">лук </t>
  </si>
  <si>
    <t xml:space="preserve">4.сок натуральный 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</si>
</sst>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2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3" fillId="0" borderId="0" xfId="0" applyNumberFormat="1" applyFont="1" applyAlignment="1">
      <alignment horizontal="left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0" fillId="0" borderId="1" xfId="0" applyNumberFormat="1" applyBorder="1" applyAlignment="1">
      <alignment vertical="center"/>
    </xf>
    <xf numFmtId="0" fontId="3" fillId="2" borderId="1" xfId="0" applyFont="1" applyFill="1" applyBorder="1" applyAlignment="1"/>
    <xf numFmtId="0" fontId="0" fillId="0" borderId="1" xfId="0" applyBorder="1"/>
    <xf numFmtId="0" fontId="14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5" fillId="0" borderId="1" xfId="0" applyFont="1" applyBorder="1"/>
    <xf numFmtId="0" fontId="11" fillId="0" borderId="1" xfId="1" applyNumberFormat="1" applyFont="1" applyFill="1" applyBorder="1" applyAlignment="1" applyProtection="1">
      <alignment horizontal="left" vertical="top" wrapText="1"/>
    </xf>
    <xf numFmtId="1" fontId="9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1" fontId="15" fillId="0" borderId="1" xfId="0" applyNumberFormat="1" applyFont="1" applyBorder="1"/>
    <xf numFmtId="164" fontId="7" fillId="0" borderId="1" xfId="0" applyNumberFormat="1" applyFont="1" applyBorder="1"/>
    <xf numFmtId="2" fontId="17" fillId="0" borderId="1" xfId="0" applyNumberFormat="1" applyFont="1" applyBorder="1"/>
    <xf numFmtId="0" fontId="18" fillId="0" borderId="1" xfId="0" applyFont="1" applyBorder="1"/>
    <xf numFmtId="14" fontId="18" fillId="0" borderId="1" xfId="0" applyNumberFormat="1" applyFont="1" applyBorder="1"/>
    <xf numFmtId="0" fontId="19" fillId="0" borderId="0" xfId="0" applyFont="1"/>
    <xf numFmtId="0" fontId="20" fillId="0" borderId="1" xfId="1" applyNumberFormat="1" applyFont="1" applyFill="1" applyBorder="1" applyAlignment="1" applyProtection="1">
      <alignment horizontal="left" vertical="center" wrapText="1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6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/>
    </xf>
    <xf numFmtId="0" fontId="21" fillId="2" borderId="7" xfId="1" applyNumberFormat="1" applyFont="1" applyFill="1" applyBorder="1" applyAlignment="1" applyProtection="1">
      <alignment horizontal="center" vertical="center"/>
    </xf>
    <xf numFmtId="0" fontId="21" fillId="2" borderId="6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0" fontId="21" fillId="0" borderId="5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 wrapText="1"/>
    </xf>
    <xf numFmtId="0" fontId="21" fillId="0" borderId="6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C19" sqref="C19"/>
    </sheetView>
  </sheetViews>
  <sheetFormatPr defaultRowHeight="14.4"/>
  <cols>
    <col min="1" max="1" width="7.77734375" customWidth="1"/>
    <col min="2" max="2" width="12.664062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28" t="s">
        <v>21</v>
      </c>
      <c r="C1" s="28"/>
      <c r="D1" s="28"/>
      <c r="E1" s="28"/>
      <c r="F1" s="28"/>
      <c r="G1" s="28"/>
      <c r="H1" s="28"/>
      <c r="I1" s="28" t="s">
        <v>1</v>
      </c>
      <c r="J1" s="29" t="s">
        <v>32</v>
      </c>
      <c r="K1" s="30"/>
      <c r="L1" s="30"/>
      <c r="M1" s="30"/>
      <c r="N1" s="30"/>
      <c r="O1" s="30"/>
      <c r="P1" s="30"/>
      <c r="Q1" s="30"/>
      <c r="R1" s="30"/>
    </row>
    <row r="2" spans="1:18" ht="33" customHeight="1">
      <c r="A2" s="64"/>
      <c r="B2" s="62" t="s">
        <v>5</v>
      </c>
      <c r="C2" s="66" t="s">
        <v>22</v>
      </c>
      <c r="D2" s="55" t="s">
        <v>6</v>
      </c>
      <c r="E2" s="55" t="s">
        <v>7</v>
      </c>
      <c r="F2" s="53" t="s">
        <v>2</v>
      </c>
      <c r="G2" s="53" t="s">
        <v>3</v>
      </c>
      <c r="H2" s="53" t="s">
        <v>4</v>
      </c>
      <c r="I2" s="53" t="s">
        <v>8</v>
      </c>
      <c r="J2" s="59" t="s">
        <v>9</v>
      </c>
      <c r="K2" s="60"/>
      <c r="L2" s="61"/>
      <c r="M2" s="59" t="s">
        <v>10</v>
      </c>
      <c r="N2" s="60"/>
      <c r="O2" s="60"/>
      <c r="P2" s="61"/>
      <c r="Q2" s="53" t="s">
        <v>11</v>
      </c>
      <c r="R2" s="50" t="s">
        <v>23</v>
      </c>
    </row>
    <row r="3" spans="1:18" ht="24" customHeight="1">
      <c r="A3" s="65"/>
      <c r="B3" s="63"/>
      <c r="C3" s="67"/>
      <c r="D3" s="56"/>
      <c r="E3" s="56"/>
      <c r="F3" s="58"/>
      <c r="G3" s="58"/>
      <c r="H3" s="58"/>
      <c r="I3" s="58"/>
      <c r="J3" s="53" t="s">
        <v>12</v>
      </c>
      <c r="K3" s="55" t="s">
        <v>13</v>
      </c>
      <c r="L3" s="53" t="s">
        <v>14</v>
      </c>
      <c r="M3" s="53" t="s">
        <v>15</v>
      </c>
      <c r="N3" s="53" t="s">
        <v>16</v>
      </c>
      <c r="O3" s="53" t="s">
        <v>17</v>
      </c>
      <c r="P3" s="53" t="s">
        <v>18</v>
      </c>
      <c r="Q3" s="58"/>
      <c r="R3" s="51"/>
    </row>
    <row r="4" spans="1:18" ht="24" customHeight="1">
      <c r="A4" s="17"/>
      <c r="B4" s="31"/>
      <c r="C4" s="68"/>
      <c r="D4" s="57"/>
      <c r="E4" s="57"/>
      <c r="F4" s="54"/>
      <c r="G4" s="54"/>
      <c r="H4" s="54"/>
      <c r="I4" s="54"/>
      <c r="J4" s="54"/>
      <c r="K4" s="57"/>
      <c r="L4" s="54"/>
      <c r="M4" s="54"/>
      <c r="N4" s="54"/>
      <c r="O4" s="54"/>
      <c r="P4" s="54"/>
      <c r="Q4" s="54"/>
      <c r="R4" s="52"/>
    </row>
    <row r="5" spans="1:18" s="7" customFormat="1" ht="19.2" customHeight="1">
      <c r="A5" s="17"/>
      <c r="B5" s="47" t="s">
        <v>33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9"/>
    </row>
    <row r="6" spans="1:18" s="9" customFormat="1" ht="19.5" customHeight="1">
      <c r="A6" s="6"/>
      <c r="B6" s="19" t="s">
        <v>26</v>
      </c>
      <c r="C6" s="2">
        <v>0.04</v>
      </c>
      <c r="D6" s="2">
        <v>0</v>
      </c>
      <c r="E6" s="2">
        <f>C6-D6</f>
        <v>0.04</v>
      </c>
      <c r="F6" s="2">
        <v>0</v>
      </c>
      <c r="G6" s="20">
        <f>E6*99.9%</f>
        <v>3.9960000000000002E-2</v>
      </c>
      <c r="H6" s="2">
        <v>0</v>
      </c>
      <c r="I6" s="2">
        <f>E6*8.99%</f>
        <v>3.5960000000000002E-3</v>
      </c>
      <c r="J6" s="2">
        <f>E6*0.06%</f>
        <v>2.3999999999999997E-5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50</v>
      </c>
      <c r="R6" s="18">
        <v>24</v>
      </c>
    </row>
    <row r="7" spans="1:18" s="8" customFormat="1" ht="22.5" customHeight="1">
      <c r="A7" s="6"/>
      <c r="B7" s="18" t="s">
        <v>34</v>
      </c>
      <c r="C7" s="2">
        <v>0.4</v>
      </c>
      <c r="D7" s="2">
        <f>C7*0.2</f>
        <v>8.0000000000000016E-2</v>
      </c>
      <c r="E7" s="2">
        <f>C7-D7</f>
        <v>0.32</v>
      </c>
      <c r="F7" s="2">
        <f>E7*1.3%</f>
        <v>4.1600000000000005E-3</v>
      </c>
      <c r="G7" s="20">
        <f>E7*0.001</f>
        <v>3.2000000000000003E-4</v>
      </c>
      <c r="H7" s="2">
        <f>E7*0.072</f>
        <v>2.3039999999999998E-2</v>
      </c>
      <c r="I7" s="2">
        <f>E7*0.3</f>
        <v>9.6000000000000002E-2</v>
      </c>
      <c r="J7" s="2">
        <f>E7*0.06%</f>
        <v>1.9199999999999998E-4</v>
      </c>
      <c r="K7" s="2">
        <f>E7*5%</f>
        <v>1.6E-2</v>
      </c>
      <c r="L7" s="2">
        <v>0</v>
      </c>
      <c r="M7" s="2">
        <f>E7*51%</f>
        <v>0.16320000000000001</v>
      </c>
      <c r="N7" s="2">
        <f>E7*55%</f>
        <v>0.17600000000000002</v>
      </c>
      <c r="O7" s="2">
        <f>E7*38%</f>
        <v>0.1216</v>
      </c>
      <c r="P7" s="2">
        <f>E7*0.7%</f>
        <v>2.2399999999999998E-3</v>
      </c>
      <c r="Q7" s="2">
        <v>70</v>
      </c>
      <c r="R7" s="18">
        <v>0.4</v>
      </c>
    </row>
    <row r="8" spans="1:18" s="8" customFormat="1" ht="22.5" customHeight="1">
      <c r="A8" s="21"/>
      <c r="B8" s="18" t="s">
        <v>35</v>
      </c>
      <c r="C8" s="2">
        <v>7.0000000000000007E-2</v>
      </c>
      <c r="D8" s="2">
        <f>C8*0.16</f>
        <v>1.1200000000000002E-2</v>
      </c>
      <c r="E8" s="2">
        <f>C8-D8</f>
        <v>5.8800000000000005E-2</v>
      </c>
      <c r="F8" s="2">
        <f>E8*1.4%</f>
        <v>8.2319999999999995E-4</v>
      </c>
      <c r="G8">
        <v>0</v>
      </c>
      <c r="H8" s="2">
        <f>E8*9.1%</f>
        <v>5.3508000000000002E-3</v>
      </c>
      <c r="I8" s="2">
        <f>E8*41%</f>
        <v>2.4108000000000001E-2</v>
      </c>
      <c r="J8" s="2">
        <f>E8*0.05%</f>
        <v>2.9400000000000003E-5</v>
      </c>
      <c r="K8" s="2">
        <f>E8*10%</f>
        <v>5.8800000000000007E-3</v>
      </c>
      <c r="L8" s="2">
        <v>0</v>
      </c>
      <c r="M8" s="2">
        <f>E8*31%</f>
        <v>1.8228000000000001E-2</v>
      </c>
      <c r="N8" s="2">
        <f>E8*58%</f>
        <v>3.4104000000000002E-2</v>
      </c>
      <c r="O8" s="2">
        <f>E8*14%</f>
        <v>8.2320000000000015E-3</v>
      </c>
      <c r="P8" s="2">
        <f>E8*0.8%</f>
        <v>4.7040000000000005E-4</v>
      </c>
      <c r="Q8" s="2">
        <v>45</v>
      </c>
      <c r="R8" s="2">
        <f>C8/1000*40</f>
        <v>2.8000000000000004E-3</v>
      </c>
    </row>
    <row r="9" spans="1:18" s="10" customFormat="1" ht="22.5" customHeight="1">
      <c r="A9" s="6"/>
      <c r="B9" s="18" t="s">
        <v>36</v>
      </c>
      <c r="C9" s="2">
        <v>2E-3</v>
      </c>
      <c r="D9" s="2">
        <f>C9*25%</f>
        <v>5.0000000000000001E-4</v>
      </c>
      <c r="E9" s="2">
        <v>75</v>
      </c>
      <c r="F9" s="2">
        <f>E9*18.2%</f>
        <v>13.65</v>
      </c>
      <c r="G9" s="2">
        <f>E9*18.4%</f>
        <v>13.799999999999999</v>
      </c>
      <c r="H9" s="2">
        <f>E9*0.7%</f>
        <v>0.52499999999999991</v>
      </c>
      <c r="I9" s="2">
        <f>E9*241%</f>
        <v>180.75</v>
      </c>
      <c r="J9" s="2">
        <f>E9*0.07%</f>
        <v>5.2500000000000005E-2</v>
      </c>
      <c r="K9" s="2">
        <v>0</v>
      </c>
      <c r="L9" s="2">
        <f>E9*0.07%</f>
        <v>5.2500000000000005E-2</v>
      </c>
      <c r="M9" s="2">
        <f>E9*16%</f>
        <v>12</v>
      </c>
      <c r="N9" s="2">
        <f>E9*165%</f>
        <v>123.75</v>
      </c>
      <c r="O9" s="2">
        <f>E9*18%</f>
        <v>13.5</v>
      </c>
      <c r="P9" s="2">
        <f>E9*1.6%</f>
        <v>1.2</v>
      </c>
      <c r="Q9" s="2">
        <v>10</v>
      </c>
      <c r="R9" s="2">
        <f>C9/1000*270</f>
        <v>5.4000000000000001E-4</v>
      </c>
    </row>
    <row r="10" spans="1:18" s="7" customFormat="1" ht="18">
      <c r="A10" s="6"/>
      <c r="B10" s="22" t="s">
        <v>19</v>
      </c>
      <c r="C10" s="3">
        <f>SUM(C6:C9)</f>
        <v>0.51200000000000001</v>
      </c>
      <c r="D10" s="3">
        <f>SUM(D6:D9)</f>
        <v>9.1700000000000018E-2</v>
      </c>
      <c r="E10" s="3">
        <f>SUM(E6:E9)</f>
        <v>75.418800000000005</v>
      </c>
      <c r="F10" s="3">
        <f>SUM(F6:F9)</f>
        <v>13.6549832</v>
      </c>
      <c r="G10" s="3">
        <f>SUM(G6:G9)</f>
        <v>13.840279999999998</v>
      </c>
      <c r="H10" s="3">
        <f>SUM(H6:H9)</f>
        <v>0.55339079999999996</v>
      </c>
      <c r="I10" s="3">
        <f>SUM(I6:I9)</f>
        <v>180.873704</v>
      </c>
      <c r="J10" s="3">
        <f>SUM(J6:J9)</f>
        <v>5.2745400000000005E-2</v>
      </c>
      <c r="K10" s="3">
        <f>SUM(K6:K9)</f>
        <v>2.188E-2</v>
      </c>
      <c r="L10" s="3">
        <f>SUM(L6:L9)</f>
        <v>5.2500000000000005E-2</v>
      </c>
      <c r="M10" s="3">
        <f>SUM(M6:M9)</f>
        <v>12.181428</v>
      </c>
      <c r="N10" s="3">
        <f>SUM(N6:N9)</f>
        <v>123.960104</v>
      </c>
      <c r="O10" s="3">
        <f>SUM(O6:O9)</f>
        <v>13.629832</v>
      </c>
      <c r="P10" s="3">
        <f>SUM(P6:P9)</f>
        <v>1.2027104</v>
      </c>
      <c r="Q10" s="3"/>
      <c r="R10" s="3">
        <f>SUM(R6:R9)</f>
        <v>24.40334</v>
      </c>
    </row>
    <row r="11" spans="1:18" s="12" customFormat="1" ht="22.2" customHeight="1">
      <c r="A11" s="23"/>
      <c r="B11" s="35" t="s">
        <v>25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18" s="13" customFormat="1" ht="22.2" customHeight="1">
      <c r="A12" s="6"/>
      <c r="B12" s="18" t="s">
        <v>37</v>
      </c>
      <c r="C12" s="2">
        <v>3.9E-2</v>
      </c>
      <c r="D12" s="2">
        <f>C12*0.25</f>
        <v>9.75E-3</v>
      </c>
      <c r="E12" s="2">
        <f>C12-D12</f>
        <v>2.9249999999999998E-2</v>
      </c>
      <c r="F12" s="2">
        <f>E12*2%</f>
        <v>5.8500000000000002E-4</v>
      </c>
      <c r="G12" s="2">
        <f>E12*0.4%</f>
        <v>1.17E-4</v>
      </c>
      <c r="H12" s="2">
        <f>E12*16.3%</f>
        <v>4.7677500000000003E-3</v>
      </c>
      <c r="I12" s="2">
        <f>E12*80%</f>
        <v>2.3400000000000001E-2</v>
      </c>
      <c r="J12" s="2">
        <f>E12*0.12%</f>
        <v>3.5099999999999993E-5</v>
      </c>
      <c r="K12" s="2">
        <f>E12*20%</f>
        <v>5.8500000000000002E-3</v>
      </c>
      <c r="L12" s="2">
        <v>0</v>
      </c>
      <c r="M12" s="2">
        <f>E12*10%</f>
        <v>2.9250000000000001E-3</v>
      </c>
      <c r="N12" s="2">
        <f>E12*58%</f>
        <v>1.6964999999999997E-2</v>
      </c>
      <c r="O12" s="2">
        <f>E12*23%</f>
        <v>6.7275E-3</v>
      </c>
      <c r="P12" s="2">
        <f>E12*0.9%</f>
        <v>2.6325000000000003E-4</v>
      </c>
      <c r="Q12" s="2">
        <v>25</v>
      </c>
      <c r="R12" s="2">
        <v>1.6</v>
      </c>
    </row>
    <row r="13" spans="1:18" s="13" customFormat="1" ht="18">
      <c r="A13" s="6"/>
      <c r="B13" s="18" t="s">
        <v>20</v>
      </c>
      <c r="C13" s="2">
        <v>6.5000000000000002E-2</v>
      </c>
      <c r="D13" s="2">
        <f>C13*0.2</f>
        <v>1.3000000000000001E-2</v>
      </c>
      <c r="E13" s="2">
        <f>C13-D13</f>
        <v>5.2000000000000005E-2</v>
      </c>
      <c r="F13" s="2">
        <f>E13*1.3%</f>
        <v>6.7600000000000017E-4</v>
      </c>
      <c r="G13" s="20">
        <f>E13*0.001</f>
        <v>5.2000000000000004E-5</v>
      </c>
      <c r="H13" s="2">
        <f>E13*0.072</f>
        <v>3.7439999999999999E-3</v>
      </c>
      <c r="I13" s="2">
        <f>E13*0.3</f>
        <v>1.5600000000000001E-2</v>
      </c>
      <c r="J13" s="2">
        <f>E13*0.06%</f>
        <v>3.1199999999999999E-5</v>
      </c>
      <c r="K13" s="2">
        <f>E13*5%</f>
        <v>2.6000000000000003E-3</v>
      </c>
      <c r="L13" s="2">
        <v>0</v>
      </c>
      <c r="M13" s="2">
        <f>E13*51%</f>
        <v>2.6520000000000002E-2</v>
      </c>
      <c r="N13" s="2">
        <f>E13*55%</f>
        <v>2.8600000000000004E-2</v>
      </c>
      <c r="O13" s="2">
        <f>E13*38%</f>
        <v>1.9760000000000003E-2</v>
      </c>
      <c r="P13" s="2">
        <f>E13*0.7%</f>
        <v>3.6400000000000001E-4</v>
      </c>
      <c r="Q13" s="2">
        <v>55</v>
      </c>
      <c r="R13" s="18">
        <f>C13/1000*60</f>
        <v>3.9000000000000007E-3</v>
      </c>
    </row>
    <row r="14" spans="1:18" s="13" customFormat="1" ht="18">
      <c r="A14" s="6"/>
      <c r="B14" s="19" t="s">
        <v>38</v>
      </c>
      <c r="C14" s="2">
        <v>0.02</v>
      </c>
      <c r="D14" s="2">
        <f>C14*0.2</f>
        <v>4.0000000000000001E-3</v>
      </c>
      <c r="E14" s="2">
        <f>C14-D14</f>
        <v>1.6E-2</v>
      </c>
      <c r="F14" s="2">
        <f>E14*0.015</f>
        <v>2.4000000000000001E-4</v>
      </c>
      <c r="G14" s="2">
        <f>E14*0.001</f>
        <v>1.5999999999999999E-5</v>
      </c>
      <c r="H14" s="2">
        <f>E14*0.091</f>
        <v>1.456E-3</v>
      </c>
      <c r="I14" s="2">
        <f>E14*0.42</f>
        <v>6.7200000000000003E-3</v>
      </c>
      <c r="J14" s="2">
        <f>E14*0.02%</f>
        <v>3.2000000000000003E-6</v>
      </c>
      <c r="K14" s="2">
        <f>E14*10%</f>
        <v>1.6000000000000001E-3</v>
      </c>
      <c r="L14" s="2">
        <v>0</v>
      </c>
      <c r="M14" s="2">
        <f>E14*37%</f>
        <v>5.9199999999999999E-3</v>
      </c>
      <c r="N14" s="2">
        <f>E14*43%</f>
        <v>6.8799999999999998E-3</v>
      </c>
      <c r="O14" s="2">
        <f>E14*22%</f>
        <v>3.5200000000000001E-3</v>
      </c>
      <c r="P14" s="2">
        <f>E14*1.4%</f>
        <v>2.2399999999999997E-4</v>
      </c>
      <c r="Q14" s="2">
        <v>35</v>
      </c>
      <c r="R14" s="2">
        <v>3.5000000000000003E-2</v>
      </c>
    </row>
    <row r="15" spans="1:18" s="13" customFormat="1" ht="18">
      <c r="A15" s="24"/>
      <c r="B15" s="19" t="s">
        <v>27</v>
      </c>
      <c r="C15" s="11">
        <v>5.2999999999999999E-2</v>
      </c>
      <c r="D15" s="11">
        <v>0</v>
      </c>
      <c r="E15" s="11">
        <f>C15-D15</f>
        <v>5.2999999999999999E-2</v>
      </c>
      <c r="F15" s="11">
        <v>0</v>
      </c>
      <c r="G15" s="16">
        <f>E15*0.999</f>
        <v>5.2947000000000001E-2</v>
      </c>
      <c r="H15" s="11">
        <v>0</v>
      </c>
      <c r="I15" s="11">
        <f>E15*8.99</f>
        <v>0.47647</v>
      </c>
      <c r="J15" s="11">
        <f>E15*0.06%</f>
        <v>3.1799999999999994E-5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58</v>
      </c>
      <c r="R15" s="11">
        <v>2.8999999999999998E-3</v>
      </c>
    </row>
    <row r="16" spans="1:18" s="13" customFormat="1" ht="31.2">
      <c r="A16" s="6"/>
      <c r="B16" s="19" t="s">
        <v>24</v>
      </c>
      <c r="C16" s="2">
        <v>0.01</v>
      </c>
      <c r="D16" s="2">
        <v>0</v>
      </c>
      <c r="E16" s="2">
        <f>C16-D16</f>
        <v>0.01</v>
      </c>
      <c r="F16" s="2">
        <v>0</v>
      </c>
      <c r="G16" s="20">
        <f>E16*0.999</f>
        <v>9.9900000000000006E-3</v>
      </c>
      <c r="H16" s="2">
        <v>0</v>
      </c>
      <c r="I16" s="2">
        <f>E16*8.99</f>
        <v>8.9900000000000008E-2</v>
      </c>
      <c r="J16" s="2">
        <f>E16*0.06%</f>
        <v>5.9999999999999993E-6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145</v>
      </c>
      <c r="R16" s="2">
        <v>1.4499999999999999E-3</v>
      </c>
    </row>
    <row r="17" spans="1:18" s="13" customFormat="1" ht="18">
      <c r="A17" s="6"/>
      <c r="B17" s="22" t="s">
        <v>19</v>
      </c>
      <c r="C17" s="3">
        <f t="shared" ref="C17:P17" si="0">SUM(C12:C16)</f>
        <v>0.18700000000000003</v>
      </c>
      <c r="D17" s="3">
        <f t="shared" si="0"/>
        <v>2.6749999999999999E-2</v>
      </c>
      <c r="E17" s="3">
        <f t="shared" si="0"/>
        <v>0.16025</v>
      </c>
      <c r="F17" s="3">
        <f t="shared" si="0"/>
        <v>1.5010000000000002E-3</v>
      </c>
      <c r="G17" s="3">
        <f t="shared" si="0"/>
        <v>6.3121999999999998E-2</v>
      </c>
      <c r="H17" s="3">
        <f t="shared" si="0"/>
        <v>9.9677500000000009E-3</v>
      </c>
      <c r="I17" s="3">
        <f t="shared" si="0"/>
        <v>0.61209000000000002</v>
      </c>
      <c r="J17" s="3">
        <f t="shared" si="0"/>
        <v>1.0729999999999997E-4</v>
      </c>
      <c r="K17" s="3">
        <f t="shared" si="0"/>
        <v>1.0050000000000002E-2</v>
      </c>
      <c r="L17" s="3">
        <f t="shared" si="0"/>
        <v>0</v>
      </c>
      <c r="M17" s="3">
        <f t="shared" si="0"/>
        <v>3.5365000000000001E-2</v>
      </c>
      <c r="N17" s="3">
        <f t="shared" si="0"/>
        <v>5.2444999999999999E-2</v>
      </c>
      <c r="O17" s="3">
        <f t="shared" si="0"/>
        <v>3.0007500000000003E-2</v>
      </c>
      <c r="P17" s="3">
        <f t="shared" si="0"/>
        <v>8.5125000000000001E-4</v>
      </c>
      <c r="Q17" s="3"/>
      <c r="R17" s="3">
        <f t="shared" ref="R17" si="1">SUM(R12:R16)</f>
        <v>1.6432499999999999</v>
      </c>
    </row>
    <row r="18" spans="1:18" s="14" customFormat="1" ht="21">
      <c r="A18" s="23"/>
      <c r="B18" s="44" t="s">
        <v>28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6"/>
    </row>
    <row r="19" spans="1:18" s="15" customFormat="1" ht="18">
      <c r="A19" s="6"/>
      <c r="B19" s="5" t="s">
        <v>19</v>
      </c>
      <c r="C19" s="3">
        <v>30</v>
      </c>
      <c r="D19" s="3">
        <v>0</v>
      </c>
      <c r="E19" s="3">
        <v>30</v>
      </c>
      <c r="F19" s="3">
        <f>E19*7.9%</f>
        <v>2.37</v>
      </c>
      <c r="G19" s="3">
        <f>E19*1%</f>
        <v>0.3</v>
      </c>
      <c r="H19" s="3">
        <f>E19*48.1%</f>
        <v>14.430000000000001</v>
      </c>
      <c r="I19" s="3">
        <f>E19*239%</f>
        <v>71.7</v>
      </c>
      <c r="J19" s="3">
        <f>E19*0.16%</f>
        <v>4.8000000000000001E-2</v>
      </c>
      <c r="K19" s="3">
        <v>0</v>
      </c>
      <c r="L19" s="3">
        <v>0</v>
      </c>
      <c r="M19" s="3">
        <f>E19*23%</f>
        <v>6.9</v>
      </c>
      <c r="N19" s="3">
        <f>E19*87%</f>
        <v>26.1</v>
      </c>
      <c r="O19" s="3">
        <f>E19*33%</f>
        <v>9.9</v>
      </c>
      <c r="P19" s="3">
        <f>E19*2%</f>
        <v>0.6</v>
      </c>
      <c r="Q19" s="3">
        <v>50</v>
      </c>
      <c r="R19" s="3">
        <f>C19/1000*50</f>
        <v>1.5</v>
      </c>
    </row>
    <row r="20" spans="1:18" s="15" customFormat="1" ht="21">
      <c r="A20" s="25"/>
      <c r="B20" s="38" t="s">
        <v>39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1:18" s="7" customFormat="1" ht="18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5" customFormat="1" ht="18">
      <c r="A22" s="4"/>
      <c r="B22" s="2"/>
      <c r="C22" s="2">
        <v>0.2</v>
      </c>
      <c r="D22" s="3">
        <f>SUM(D21:D21)</f>
        <v>0</v>
      </c>
      <c r="E22" s="2">
        <v>150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70</v>
      </c>
      <c r="R22" s="2">
        <v>1.4E-2</v>
      </c>
    </row>
    <row r="23" spans="1:18" s="15" customFormat="1" ht="18">
      <c r="A23" s="4"/>
      <c r="B23" s="5" t="s">
        <v>19</v>
      </c>
      <c r="C23" s="3">
        <f>SUM(C21:C22)</f>
        <v>0.2</v>
      </c>
      <c r="D23" s="3">
        <f>SUM(D22:D22)</f>
        <v>0</v>
      </c>
      <c r="E23" s="3">
        <v>150</v>
      </c>
      <c r="F23" s="3">
        <f t="shared" ref="F23:P23" si="2">SUM(F22:F22)</f>
        <v>0</v>
      </c>
      <c r="G23" s="3">
        <f t="shared" si="2"/>
        <v>0</v>
      </c>
      <c r="H23" s="3">
        <f t="shared" si="2"/>
        <v>0</v>
      </c>
      <c r="I23" s="3">
        <f t="shared" si="2"/>
        <v>0</v>
      </c>
      <c r="J23" s="3">
        <f t="shared" si="2"/>
        <v>0</v>
      </c>
      <c r="K23" s="3">
        <f t="shared" si="2"/>
        <v>0</v>
      </c>
      <c r="L23" s="3">
        <f t="shared" si="2"/>
        <v>0</v>
      </c>
      <c r="M23" s="3">
        <f t="shared" si="2"/>
        <v>0</v>
      </c>
      <c r="N23" s="3">
        <f t="shared" si="2"/>
        <v>0</v>
      </c>
      <c r="O23" s="3">
        <f t="shared" si="2"/>
        <v>0</v>
      </c>
      <c r="P23" s="3">
        <f t="shared" si="2"/>
        <v>0</v>
      </c>
      <c r="Q23" s="3"/>
      <c r="R23" s="3">
        <f>SUM(R21:R22)</f>
        <v>1.4E-2</v>
      </c>
    </row>
    <row r="24" spans="1:18" s="15" customFormat="1" ht="18">
      <c r="A24" s="6"/>
      <c r="B24" s="41" t="s">
        <v>29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</row>
    <row r="25" spans="1:18" ht="18">
      <c r="A25" s="6"/>
      <c r="B25" s="5" t="s">
        <v>19</v>
      </c>
      <c r="C25" s="3">
        <v>40</v>
      </c>
      <c r="D25" s="3">
        <v>0</v>
      </c>
      <c r="E25" s="3">
        <f>C25-D25</f>
        <v>40</v>
      </c>
      <c r="F25" s="2">
        <f>E25*7.5%</f>
        <v>3</v>
      </c>
      <c r="G25" s="2">
        <f>E25*11.8%</f>
        <v>4.7200000000000006</v>
      </c>
      <c r="H25" s="2">
        <f>E25*74.4%</f>
        <v>29.760000000000005</v>
      </c>
      <c r="I25" s="2">
        <f>E25*436%</f>
        <v>174.4</v>
      </c>
      <c r="J25" s="2">
        <f>E25*0.08%</f>
        <v>3.2000000000000001E-2</v>
      </c>
      <c r="K25" s="2">
        <f>E25*0%</f>
        <v>0</v>
      </c>
      <c r="L25" s="2">
        <f>E25*0%</f>
        <v>0</v>
      </c>
      <c r="M25" s="2">
        <f>E25*29%</f>
        <v>11.6</v>
      </c>
      <c r="N25" s="2">
        <f>E25*90%</f>
        <v>36</v>
      </c>
      <c r="O25" s="2">
        <f>E25*20%</f>
        <v>8</v>
      </c>
      <c r="P25" s="2">
        <f>E25*2.1%</f>
        <v>0.84000000000000008</v>
      </c>
      <c r="Q25" s="2">
        <v>160</v>
      </c>
      <c r="R25" s="3">
        <f>C25/1000*160</f>
        <v>6.4</v>
      </c>
    </row>
    <row r="26" spans="1:18" ht="21">
      <c r="A26" s="6"/>
      <c r="B26" s="44" t="s">
        <v>30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18" s="15" customFormat="1" ht="19.2" customHeight="1">
      <c r="A27" s="6"/>
      <c r="B27" s="5" t="s">
        <v>19</v>
      </c>
      <c r="C27" s="3">
        <v>140</v>
      </c>
      <c r="D27" s="3">
        <v>0</v>
      </c>
      <c r="E27" s="3">
        <v>125</v>
      </c>
      <c r="F27" s="3">
        <f>E27*0.4%</f>
        <v>0.5</v>
      </c>
      <c r="G27" s="3">
        <f>E27*0.4%</f>
        <v>0.5</v>
      </c>
      <c r="H27" s="3">
        <f>E27*9.8%</f>
        <v>12.25</v>
      </c>
      <c r="I27" s="3">
        <f>E27*45%</f>
        <v>56.25</v>
      </c>
      <c r="J27" s="3">
        <f>E27*0.03%</f>
        <v>3.7499999999999999E-2</v>
      </c>
      <c r="K27" s="3">
        <f>E27*13%</f>
        <v>16.25</v>
      </c>
      <c r="L27" s="3">
        <v>0</v>
      </c>
      <c r="M27" s="3">
        <f>E27*16%</f>
        <v>20</v>
      </c>
      <c r="N27" s="3">
        <f>E27*11%</f>
        <v>13.75</v>
      </c>
      <c r="O27" s="3">
        <f>E27*9%</f>
        <v>11.25</v>
      </c>
      <c r="P27" s="3">
        <f>E27*2.2%</f>
        <v>2.7500000000000004</v>
      </c>
      <c r="Q27" s="3">
        <v>78</v>
      </c>
      <c r="R27" s="3">
        <f>C27/1000*78</f>
        <v>10.920000000000002</v>
      </c>
    </row>
    <row r="28" spans="1:18" ht="21">
      <c r="A28" s="6"/>
      <c r="B28" s="32" t="s">
        <v>31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</row>
    <row r="29" spans="1:18" ht="18">
      <c r="A29" s="6"/>
      <c r="B29" s="5" t="s">
        <v>19</v>
      </c>
      <c r="C29" s="26">
        <v>3</v>
      </c>
      <c r="D29" s="3">
        <v>0</v>
      </c>
      <c r="E29" s="26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20</v>
      </c>
      <c r="R29" s="26">
        <f>C29/1000*20</f>
        <v>0.06</v>
      </c>
    </row>
    <row r="30" spans="1:18" ht="18">
      <c r="A30" s="6"/>
      <c r="B30" s="5"/>
      <c r="C30" s="26"/>
      <c r="D30" s="3"/>
      <c r="E30" s="2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6"/>
    </row>
    <row r="31" spans="1:18" ht="23.4">
      <c r="A31" s="4"/>
      <c r="B31" s="27" t="s">
        <v>19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>
        <v>61</v>
      </c>
    </row>
  </sheetData>
  <mergeCells count="27">
    <mergeCell ref="M2:P2"/>
    <mergeCell ref="F2:F4"/>
    <mergeCell ref="B2:B3"/>
    <mergeCell ref="A2:A3"/>
    <mergeCell ref="C2:C4"/>
    <mergeCell ref="J2:L2"/>
    <mergeCell ref="B5:R5"/>
    <mergeCell ref="B18:R18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N3:N4"/>
    <mergeCell ref="B28:R28"/>
    <mergeCell ref="B11:R11"/>
    <mergeCell ref="B20:R20"/>
    <mergeCell ref="B24:R24"/>
    <mergeCell ref="B26:R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2021-12-29T09:53:13Z</dcterms:modified>
</cp:coreProperties>
</file>