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30" i="1"/>
  <c r="E30"/>
  <c r="R28"/>
  <c r="P28"/>
  <c r="O28"/>
  <c r="N28"/>
  <c r="M28"/>
  <c r="K28"/>
  <c r="J28"/>
  <c r="I28"/>
  <c r="H28"/>
  <c r="G28"/>
  <c r="F28"/>
  <c r="R26"/>
  <c r="N26"/>
  <c r="J26"/>
  <c r="F26"/>
  <c r="E26"/>
  <c r="P26" s="1"/>
  <c r="O24"/>
  <c r="N24"/>
  <c r="L24"/>
  <c r="K24"/>
  <c r="J24"/>
  <c r="G24"/>
  <c r="F24"/>
  <c r="D24"/>
  <c r="C24"/>
  <c r="R23"/>
  <c r="P23"/>
  <c r="P24" s="1"/>
  <c r="M23"/>
  <c r="M24" s="1"/>
  <c r="I23"/>
  <c r="I24" s="1"/>
  <c r="H23"/>
  <c r="H24" s="1"/>
  <c r="R22"/>
  <c r="R24" s="1"/>
  <c r="N22"/>
  <c r="J22"/>
  <c r="F22"/>
  <c r="E22"/>
  <c r="P22" s="1"/>
  <c r="R20"/>
  <c r="P20"/>
  <c r="O20"/>
  <c r="N20"/>
  <c r="M20"/>
  <c r="J20"/>
  <c r="I20"/>
  <c r="H20"/>
  <c r="G20"/>
  <c r="F20"/>
  <c r="L18"/>
  <c r="C18"/>
  <c r="R17"/>
  <c r="J17"/>
  <c r="I17"/>
  <c r="E17"/>
  <c r="G17" s="1"/>
  <c r="R16"/>
  <c r="R18" s="1"/>
  <c r="E16"/>
  <c r="I16" s="1"/>
  <c r="R15"/>
  <c r="E15"/>
  <c r="P15" s="1"/>
  <c r="D15"/>
  <c r="D18" s="1"/>
  <c r="R14"/>
  <c r="O14"/>
  <c r="J14"/>
  <c r="F14"/>
  <c r="E14"/>
  <c r="M14" s="1"/>
  <c r="D14"/>
  <c r="R13"/>
  <c r="D13"/>
  <c r="E13" s="1"/>
  <c r="D11"/>
  <c r="C11"/>
  <c r="R10"/>
  <c r="P10"/>
  <c r="O10"/>
  <c r="N10"/>
  <c r="M10"/>
  <c r="L10"/>
  <c r="L11" s="1"/>
  <c r="J10"/>
  <c r="I10"/>
  <c r="H10"/>
  <c r="G10"/>
  <c r="F10"/>
  <c r="D10"/>
  <c r="R9"/>
  <c r="P9"/>
  <c r="K9"/>
  <c r="F9"/>
  <c r="E9"/>
  <c r="N9" s="1"/>
  <c r="D9"/>
  <c r="R8"/>
  <c r="D8"/>
  <c r="E8" s="1"/>
  <c r="R7"/>
  <c r="R11" s="1"/>
  <c r="E7"/>
  <c r="I7" s="1"/>
  <c r="R6"/>
  <c r="E6"/>
  <c r="P6" s="1"/>
  <c r="R32" l="1"/>
  <c r="N13"/>
  <c r="N18" s="1"/>
  <c r="I13"/>
  <c r="O13"/>
  <c r="F13"/>
  <c r="E18"/>
  <c r="K13"/>
  <c r="K18" s="1"/>
  <c r="M13"/>
  <c r="H13"/>
  <c r="J13"/>
  <c r="J18" s="1"/>
  <c r="P13"/>
  <c r="P18" s="1"/>
  <c r="G13"/>
  <c r="N8"/>
  <c r="I8"/>
  <c r="O8"/>
  <c r="F8"/>
  <c r="P8"/>
  <c r="G8"/>
  <c r="M8"/>
  <c r="H8"/>
  <c r="J8"/>
  <c r="K8"/>
  <c r="P11"/>
  <c r="N6"/>
  <c r="M6"/>
  <c r="J7"/>
  <c r="O9"/>
  <c r="M15"/>
  <c r="J16"/>
  <c r="I22"/>
  <c r="I26"/>
  <c r="M26"/>
  <c r="F6"/>
  <c r="F11" s="1"/>
  <c r="J6"/>
  <c r="J11" s="1"/>
  <c r="O6"/>
  <c r="O11" s="1"/>
  <c r="G7"/>
  <c r="H9"/>
  <c r="M9"/>
  <c r="G14"/>
  <c r="K14"/>
  <c r="P14"/>
  <c r="F15"/>
  <c r="J15"/>
  <c r="O15"/>
  <c r="G16"/>
  <c r="G22"/>
  <c r="K22"/>
  <c r="O22"/>
  <c r="G26"/>
  <c r="K26"/>
  <c r="O26"/>
  <c r="I6"/>
  <c r="E11"/>
  <c r="I15"/>
  <c r="N15"/>
  <c r="H6"/>
  <c r="J9"/>
  <c r="I14"/>
  <c r="N14"/>
  <c r="H15"/>
  <c r="M22"/>
  <c r="G6"/>
  <c r="G11" s="1"/>
  <c r="K6"/>
  <c r="I9"/>
  <c r="H14"/>
  <c r="G15"/>
  <c r="K15"/>
  <c r="H22"/>
  <c r="L22"/>
  <c r="H26"/>
  <c r="L26"/>
  <c r="K11" l="1"/>
  <c r="M11"/>
  <c r="H18"/>
  <c r="F18"/>
  <c r="I18"/>
  <c r="H11"/>
  <c r="I11"/>
  <c r="N11"/>
  <c r="G18"/>
  <c r="M18"/>
  <c r="O18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<sst xmlns="http://schemas.openxmlformats.org/spreadsheetml/2006/main" count="50" uniqueCount="41">
  <si>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</si>
  <si>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</si>
  <si>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</si>
  <si>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</si>
  <si>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</si>
  <si>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</si>
  <si>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</si>
  <si>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</si>
  <si>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</si>
  <si>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</si>
  <si>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</si>
  <si>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</si>
  <si>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</si>
  <si>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</si>
  <si>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</si>
  <si>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</si>
  <si>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</si>
  <si>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</si>
  <si>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</si>
  <si>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</si>
  <si>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</si>
  <si>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МБОУ "Урагинская СОШ"</t>
  </si>
  <si>
    <t>сумма</t>
  </si>
  <si>
    <t>3.хлеб</t>
  </si>
  <si>
    <t>5.печенье</t>
  </si>
  <si>
    <t>7.соль</t>
  </si>
  <si>
    <t>25.12.2021 г</t>
  </si>
  <si>
    <t xml:space="preserve"> всего грамм</t>
  </si>
  <si>
    <t xml:space="preserve">1.плов рисовый из отварного куриного мяса </t>
  </si>
  <si>
    <t xml:space="preserve">рис </t>
  </si>
  <si>
    <t>растит. масло</t>
  </si>
  <si>
    <t>морковь</t>
  </si>
  <si>
    <t>лук</t>
  </si>
  <si>
    <t xml:space="preserve">курица </t>
  </si>
  <si>
    <t>2.салат овощной</t>
  </si>
  <si>
    <t>картофель</t>
  </si>
  <si>
    <t>свекла</t>
  </si>
  <si>
    <t>зел.горох</t>
  </si>
  <si>
    <t>4.чай</t>
  </si>
  <si>
    <t>чай</t>
  </si>
  <si>
    <t>6.яблоки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</si>
</sst>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2" fontId="5" fillId="0" borderId="3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5" fillId="0" borderId="2" xfId="1" applyNumberFormat="1" applyFont="1" applyFill="1" applyBorder="1" applyAlignment="1" applyProtection="1">
      <alignment horizontal="center" vertical="center"/>
    </xf>
    <xf numFmtId="0" fontId="16" fillId="0" borderId="2" xfId="1" applyNumberFormat="1" applyFont="1" applyFill="1" applyBorder="1" applyAlignment="1" applyProtection="1">
      <alignment horizontal="center" vertical="center" wrapText="1"/>
    </xf>
    <xf numFmtId="0" fontId="16" fillId="2" borderId="2" xfId="1" applyNumberFormat="1" applyFont="1" applyFill="1" applyBorder="1" applyAlignment="1" applyProtection="1">
      <alignment horizontal="center" vertical="center"/>
    </xf>
    <xf numFmtId="0" fontId="16" fillId="0" borderId="2" xfId="1" applyNumberFormat="1" applyFont="1" applyFill="1" applyBorder="1" applyAlignment="1" applyProtection="1">
      <alignment horizontal="center" vertical="center"/>
    </xf>
    <xf numFmtId="0" fontId="16" fillId="0" borderId="3" xfId="1" applyNumberFormat="1" applyFont="1" applyFill="1" applyBorder="1" applyAlignment="1" applyProtection="1">
      <alignment horizontal="center" vertical="center"/>
    </xf>
    <xf numFmtId="0" fontId="16" fillId="0" borderId="4" xfId="1" applyNumberFormat="1" applyFont="1" applyFill="1" applyBorder="1" applyAlignment="1" applyProtection="1">
      <alignment horizontal="center" vertical="center"/>
    </xf>
    <xf numFmtId="0" fontId="16" fillId="0" borderId="5" xfId="1" applyNumberFormat="1" applyFont="1" applyFill="1" applyBorder="1" applyAlignment="1" applyProtection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6" xfId="1" applyNumberFormat="1" applyFont="1" applyFill="1" applyBorder="1" applyAlignment="1" applyProtection="1">
      <alignment horizontal="center" vertical="center"/>
    </xf>
    <xf numFmtId="0" fontId="16" fillId="0" borderId="7" xfId="1" applyNumberFormat="1" applyFont="1" applyFill="1" applyBorder="1" applyAlignment="1" applyProtection="1">
      <alignment horizontal="center" vertical="center" wrapText="1"/>
    </xf>
    <xf numFmtId="0" fontId="16" fillId="2" borderId="7" xfId="1" applyNumberFormat="1" applyFont="1" applyFill="1" applyBorder="1" applyAlignment="1" applyProtection="1">
      <alignment horizontal="center" vertical="center"/>
    </xf>
    <xf numFmtId="0" fontId="16" fillId="0" borderId="7" xfId="1" applyNumberFormat="1" applyFont="1" applyFill="1" applyBorder="1" applyAlignment="1" applyProtection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" fillId="2" borderId="1" xfId="0" applyFont="1" applyFill="1" applyBorder="1" applyAlignment="1"/>
    <xf numFmtId="0" fontId="15" fillId="0" borderId="1" xfId="1" applyNumberFormat="1" applyFont="1" applyFill="1" applyBorder="1" applyAlignment="1" applyProtection="1">
      <alignment horizontal="left" vertical="center" wrapText="1"/>
    </xf>
    <xf numFmtId="0" fontId="16" fillId="0" borderId="6" xfId="1" applyNumberFormat="1" applyFont="1" applyFill="1" applyBorder="1" applyAlignment="1" applyProtection="1">
      <alignment horizontal="center" vertical="center" wrapText="1"/>
    </xf>
    <xf numFmtId="0" fontId="16" fillId="2" borderId="6" xfId="1" applyNumberFormat="1" applyFont="1" applyFill="1" applyBorder="1" applyAlignment="1" applyProtection="1">
      <alignment horizontal="center" vertical="center"/>
    </xf>
    <xf numFmtId="0" fontId="16" fillId="0" borderId="6" xfId="1" applyNumberFormat="1" applyFont="1" applyFill="1" applyBorder="1" applyAlignment="1" applyProtection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1" applyNumberFormat="1" applyFont="1" applyFill="1" applyBorder="1" applyAlignment="1" applyProtection="1">
      <alignment horizontal="center" vertical="center" wrapText="1"/>
    </xf>
    <xf numFmtId="0" fontId="17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9" fillId="0" borderId="1" xfId="1" applyNumberFormat="1" applyFont="1" applyFill="1" applyBorder="1" applyAlignment="1" applyProtection="1">
      <alignment horizontal="left" vertical="top" wrapText="1"/>
    </xf>
    <xf numFmtId="1" fontId="18" fillId="0" borderId="1" xfId="0" applyNumberFormat="1" applyFont="1" applyBorder="1"/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2" fontId="19" fillId="0" borderId="3" xfId="0" applyNumberFormat="1" applyFont="1" applyBorder="1" applyAlignment="1">
      <alignment horizontal="center"/>
    </xf>
    <xf numFmtId="2" fontId="19" fillId="0" borderId="4" xfId="0" applyNumberFormat="1" applyFont="1" applyBorder="1" applyAlignment="1">
      <alignment horizontal="center"/>
    </xf>
    <xf numFmtId="2" fontId="19" fillId="0" borderId="5" xfId="0" applyNumberFormat="1" applyFont="1" applyBorder="1" applyAlignment="1">
      <alignment horizontal="center"/>
    </xf>
    <xf numFmtId="1" fontId="20" fillId="0" borderId="1" xfId="0" applyNumberFormat="1" applyFont="1" applyBorder="1"/>
    <xf numFmtId="2" fontId="21" fillId="0" borderId="3" xfId="0" applyNumberFormat="1" applyFon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1" fontId="7" fillId="0" borderId="1" xfId="0" applyNumberFormat="1" applyFont="1" applyBorder="1"/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tabSelected="1" workbookViewId="0">
      <selection activeCell="J37" sqref="J37"/>
    </sheetView>
  </sheetViews>
  <sheetFormatPr defaultRowHeight="14.4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8" t="s">
        <v>21</v>
      </c>
      <c r="C1" s="18"/>
      <c r="D1" s="18"/>
      <c r="E1" s="18"/>
      <c r="F1" s="18"/>
      <c r="G1" s="18"/>
      <c r="H1" s="18"/>
      <c r="I1" s="18" t="s">
        <v>1</v>
      </c>
      <c r="J1" s="19" t="s">
        <v>26</v>
      </c>
      <c r="K1" s="20"/>
      <c r="L1" s="20"/>
      <c r="M1" s="20"/>
      <c r="N1" s="20"/>
      <c r="O1" s="20"/>
      <c r="P1" s="20"/>
      <c r="Q1" s="20"/>
      <c r="R1" s="20"/>
    </row>
    <row r="2" spans="1:18" ht="33" customHeight="1">
      <c r="A2" s="22"/>
      <c r="B2" s="24" t="s">
        <v>5</v>
      </c>
      <c r="C2" s="25" t="s">
        <v>27</v>
      </c>
      <c r="D2" s="26" t="s">
        <v>6</v>
      </c>
      <c r="E2" s="26" t="s">
        <v>7</v>
      </c>
      <c r="F2" s="27" t="s">
        <v>2</v>
      </c>
      <c r="G2" s="27" t="s">
        <v>3</v>
      </c>
      <c r="H2" s="27" t="s">
        <v>4</v>
      </c>
      <c r="I2" s="27" t="s">
        <v>8</v>
      </c>
      <c r="J2" s="28" t="s">
        <v>9</v>
      </c>
      <c r="K2" s="29"/>
      <c r="L2" s="30"/>
      <c r="M2" s="28" t="s">
        <v>10</v>
      </c>
      <c r="N2" s="29"/>
      <c r="O2" s="29"/>
      <c r="P2" s="30"/>
      <c r="Q2" s="27" t="s">
        <v>11</v>
      </c>
      <c r="R2" s="31" t="s">
        <v>22</v>
      </c>
    </row>
    <row r="3" spans="1:18" ht="24" customHeight="1">
      <c r="A3" s="23"/>
      <c r="B3" s="32"/>
      <c r="C3" s="33"/>
      <c r="D3" s="34"/>
      <c r="E3" s="34"/>
      <c r="F3" s="35"/>
      <c r="G3" s="35"/>
      <c r="H3" s="35"/>
      <c r="I3" s="35"/>
      <c r="J3" s="27" t="s">
        <v>12</v>
      </c>
      <c r="K3" s="26" t="s">
        <v>13</v>
      </c>
      <c r="L3" s="27" t="s">
        <v>14</v>
      </c>
      <c r="M3" s="27" t="s">
        <v>15</v>
      </c>
      <c r="N3" s="27" t="s">
        <v>16</v>
      </c>
      <c r="O3" s="27" t="s">
        <v>17</v>
      </c>
      <c r="P3" s="27" t="s">
        <v>18</v>
      </c>
      <c r="Q3" s="35"/>
      <c r="R3" s="36"/>
    </row>
    <row r="4" spans="1:18" ht="24" customHeight="1">
      <c r="A4" s="37"/>
      <c r="B4" s="38"/>
      <c r="C4" s="39"/>
      <c r="D4" s="40"/>
      <c r="E4" s="40"/>
      <c r="F4" s="41"/>
      <c r="G4" s="41"/>
      <c r="H4" s="41"/>
      <c r="I4" s="41"/>
      <c r="J4" s="41"/>
      <c r="K4" s="40"/>
      <c r="L4" s="41"/>
      <c r="M4" s="41"/>
      <c r="N4" s="41"/>
      <c r="O4" s="41"/>
      <c r="P4" s="41"/>
      <c r="Q4" s="41"/>
      <c r="R4" s="42"/>
    </row>
    <row r="5" spans="1:18" s="6" customFormat="1" ht="19.2" customHeight="1">
      <c r="A5" s="37"/>
      <c r="B5" s="43" t="s">
        <v>28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5"/>
    </row>
    <row r="6" spans="1:18" s="7" customFormat="1" ht="22.5" customHeight="1">
      <c r="A6" s="5"/>
      <c r="B6" s="14" t="s">
        <v>29</v>
      </c>
      <c r="C6" s="2">
        <v>50</v>
      </c>
      <c r="D6" s="2">
        <v>0</v>
      </c>
      <c r="E6" s="2">
        <f>C6-D6</f>
        <v>50</v>
      </c>
      <c r="F6" s="2">
        <f>E6*2%</f>
        <v>1</v>
      </c>
      <c r="G6" s="2">
        <f>E6*0.4%</f>
        <v>0.2</v>
      </c>
      <c r="H6" s="2">
        <f>E6*16.3%</f>
        <v>8.15</v>
      </c>
      <c r="I6" s="2">
        <f>E6*80%</f>
        <v>40</v>
      </c>
      <c r="J6" s="2">
        <f>E6*0.12%</f>
        <v>0.06</v>
      </c>
      <c r="K6" s="2">
        <f>E6*20%</f>
        <v>10</v>
      </c>
      <c r="L6" s="2">
        <v>0</v>
      </c>
      <c r="M6" s="2">
        <f>E6*10%</f>
        <v>5</v>
      </c>
      <c r="N6" s="2">
        <f>E6*58%</f>
        <v>28.999999999999996</v>
      </c>
      <c r="O6" s="2">
        <f>E6*23%</f>
        <v>11.5</v>
      </c>
      <c r="P6" s="2">
        <f>E6*0.9%</f>
        <v>0.45000000000000007</v>
      </c>
      <c r="Q6" s="2">
        <v>75</v>
      </c>
      <c r="R6" s="2">
        <f>C6/1000*75</f>
        <v>3.75</v>
      </c>
    </row>
    <row r="7" spans="1:18" s="8" customFormat="1" ht="19.5" customHeight="1">
      <c r="A7" s="5"/>
      <c r="B7" s="46" t="s">
        <v>30</v>
      </c>
      <c r="C7" s="2">
        <v>10</v>
      </c>
      <c r="D7" s="2">
        <v>0</v>
      </c>
      <c r="E7" s="2">
        <f>C7-D7</f>
        <v>10</v>
      </c>
      <c r="F7" s="2">
        <v>0</v>
      </c>
      <c r="G7" s="47">
        <f>E7*99.9%</f>
        <v>9.990000000000002</v>
      </c>
      <c r="H7" s="2">
        <v>0</v>
      </c>
      <c r="I7" s="2">
        <f>E7*8.99%</f>
        <v>0.89900000000000002</v>
      </c>
      <c r="J7" s="2">
        <f>E7*0.06%</f>
        <v>5.9999999999999993E-3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150</v>
      </c>
      <c r="R7" s="14">
        <f>C7/1000*150</f>
        <v>1.5</v>
      </c>
    </row>
    <row r="8" spans="1:18" s="7" customFormat="1" ht="22.5" customHeight="1">
      <c r="A8" s="5"/>
      <c r="B8" s="14" t="s">
        <v>31</v>
      </c>
      <c r="C8" s="2">
        <v>25</v>
      </c>
      <c r="D8" s="2">
        <f>C8*0.2</f>
        <v>5</v>
      </c>
      <c r="E8" s="2">
        <f>C8-D8</f>
        <v>20</v>
      </c>
      <c r="F8" s="2">
        <f>E8*1.3%</f>
        <v>0.26</v>
      </c>
      <c r="G8" s="47">
        <f>E8*0.001</f>
        <v>0.02</v>
      </c>
      <c r="H8" s="2">
        <f>E8*0.072</f>
        <v>1.44</v>
      </c>
      <c r="I8" s="2">
        <f>E8*0.3</f>
        <v>6</v>
      </c>
      <c r="J8" s="2">
        <f>E8*0.06%</f>
        <v>1.1999999999999999E-2</v>
      </c>
      <c r="K8" s="2">
        <f>E8*5%</f>
        <v>1</v>
      </c>
      <c r="L8" s="2">
        <v>0</v>
      </c>
      <c r="M8" s="2">
        <f>E8*51%</f>
        <v>10.199999999999999</v>
      </c>
      <c r="N8" s="2">
        <f>E8*55%</f>
        <v>11</v>
      </c>
      <c r="O8" s="2">
        <f>E8*38%</f>
        <v>7.6</v>
      </c>
      <c r="P8" s="2">
        <f>E8*0.7%</f>
        <v>0.13999999999999999</v>
      </c>
      <c r="Q8" s="2">
        <v>60</v>
      </c>
      <c r="R8" s="14">
        <f>C8/1000*60</f>
        <v>1.5</v>
      </c>
    </row>
    <row r="9" spans="1:18" s="7" customFormat="1" ht="22.5" customHeight="1">
      <c r="A9" s="15"/>
      <c r="B9" s="14" t="s">
        <v>32</v>
      </c>
      <c r="C9" s="2">
        <v>26</v>
      </c>
      <c r="D9" s="2">
        <f>C9*0.16</f>
        <v>4.16</v>
      </c>
      <c r="E9" s="2">
        <f>C9-D9</f>
        <v>21.84</v>
      </c>
      <c r="F9" s="2">
        <f>E9*1.4%</f>
        <v>0.30575999999999998</v>
      </c>
      <c r="G9">
        <v>0</v>
      </c>
      <c r="H9" s="2">
        <f>E9*9.1%</f>
        <v>1.9874399999999999</v>
      </c>
      <c r="I9" s="2">
        <f>E9*41%</f>
        <v>8.9543999999999997</v>
      </c>
      <c r="J9" s="2">
        <f>E9*0.05%</f>
        <v>1.0920000000000001E-2</v>
      </c>
      <c r="K9" s="2">
        <f>E9*10%</f>
        <v>2.1840000000000002</v>
      </c>
      <c r="L9" s="2">
        <v>0</v>
      </c>
      <c r="M9" s="2">
        <f>E9*31%</f>
        <v>6.7703999999999995</v>
      </c>
      <c r="N9" s="2">
        <f>E9*58%</f>
        <v>12.667199999999999</v>
      </c>
      <c r="O9" s="2">
        <f>E9*14%</f>
        <v>3.0576000000000003</v>
      </c>
      <c r="P9" s="2">
        <f>E9*0.8%</f>
        <v>0.17472000000000001</v>
      </c>
      <c r="Q9" s="2">
        <v>40</v>
      </c>
      <c r="R9" s="2">
        <f>C9/1000*40</f>
        <v>1.04</v>
      </c>
    </row>
    <row r="10" spans="1:18" s="9" customFormat="1" ht="22.2" customHeight="1">
      <c r="A10" s="5"/>
      <c r="B10" s="14" t="s">
        <v>33</v>
      </c>
      <c r="C10" s="2">
        <v>90</v>
      </c>
      <c r="D10" s="2">
        <f>C10*25%</f>
        <v>22.5</v>
      </c>
      <c r="E10" s="2">
        <v>75</v>
      </c>
      <c r="F10" s="2">
        <f>E10*18.2%</f>
        <v>13.65</v>
      </c>
      <c r="G10" s="2">
        <f>E10*18.4%</f>
        <v>13.799999999999999</v>
      </c>
      <c r="H10" s="2">
        <f>E10*0.7%</f>
        <v>0.52499999999999991</v>
      </c>
      <c r="I10" s="2">
        <f>E10*241%</f>
        <v>180.75</v>
      </c>
      <c r="J10" s="2">
        <f>E10*0.07%</f>
        <v>5.2500000000000005E-2</v>
      </c>
      <c r="K10" s="2">
        <v>0</v>
      </c>
      <c r="L10" s="2">
        <f>E10*0.07%</f>
        <v>5.2500000000000005E-2</v>
      </c>
      <c r="M10" s="2">
        <f>E10*16%</f>
        <v>12</v>
      </c>
      <c r="N10" s="2">
        <f>E10*165%</f>
        <v>123.75</v>
      </c>
      <c r="O10" s="2">
        <f>E10*18%</f>
        <v>13.5</v>
      </c>
      <c r="P10" s="2">
        <f>E10*1.6%</f>
        <v>1.2</v>
      </c>
      <c r="Q10" s="2">
        <v>270</v>
      </c>
      <c r="R10" s="2">
        <f>C10/1000*270</f>
        <v>24.3</v>
      </c>
    </row>
    <row r="11" spans="1:18" s="6" customFormat="1" ht="18">
      <c r="A11" s="5"/>
      <c r="B11" s="48" t="s">
        <v>19</v>
      </c>
      <c r="C11" s="3">
        <f t="shared" ref="C11:P11" si="0">SUM(C6:C10)</f>
        <v>201</v>
      </c>
      <c r="D11" s="3">
        <f t="shared" si="0"/>
        <v>31.66</v>
      </c>
      <c r="E11" s="3">
        <f t="shared" si="0"/>
        <v>176.84</v>
      </c>
      <c r="F11" s="3">
        <f t="shared" si="0"/>
        <v>15.21576</v>
      </c>
      <c r="G11" s="3">
        <f t="shared" si="0"/>
        <v>24.009999999999998</v>
      </c>
      <c r="H11" s="3">
        <f t="shared" si="0"/>
        <v>12.10244</v>
      </c>
      <c r="I11" s="3">
        <f t="shared" si="0"/>
        <v>236.60339999999999</v>
      </c>
      <c r="J11" s="3">
        <f t="shared" si="0"/>
        <v>0.14141999999999999</v>
      </c>
      <c r="K11" s="3">
        <f t="shared" si="0"/>
        <v>13.184000000000001</v>
      </c>
      <c r="L11" s="3">
        <f t="shared" si="0"/>
        <v>5.2500000000000005E-2</v>
      </c>
      <c r="M11" s="3">
        <f t="shared" si="0"/>
        <v>33.970399999999998</v>
      </c>
      <c r="N11" s="3">
        <f t="shared" si="0"/>
        <v>176.41720000000001</v>
      </c>
      <c r="O11" s="3">
        <f t="shared" si="0"/>
        <v>35.657600000000002</v>
      </c>
      <c r="P11" s="3">
        <f t="shared" si="0"/>
        <v>1.96472</v>
      </c>
      <c r="Q11" s="3"/>
      <c r="R11" s="3">
        <f>SUM(R6:R10)</f>
        <v>32.090000000000003</v>
      </c>
    </row>
    <row r="12" spans="1:18" s="10" customFormat="1" ht="22.2" customHeight="1">
      <c r="A12" s="49"/>
      <c r="B12" s="50" t="s">
        <v>34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2"/>
    </row>
    <row r="13" spans="1:18" s="11" customFormat="1" ht="22.2" customHeight="1">
      <c r="A13" s="5"/>
      <c r="B13" s="14" t="s">
        <v>35</v>
      </c>
      <c r="C13" s="2">
        <v>30</v>
      </c>
      <c r="D13" s="2">
        <f>C13*0.25</f>
        <v>7.5</v>
      </c>
      <c r="E13" s="2">
        <f>C13-D13</f>
        <v>22.5</v>
      </c>
      <c r="F13" s="2">
        <f>E13*2%</f>
        <v>0.45</v>
      </c>
      <c r="G13" s="2">
        <f>E13*0.4%</f>
        <v>0.09</v>
      </c>
      <c r="H13" s="2">
        <f>E13*16.3%</f>
        <v>3.6675</v>
      </c>
      <c r="I13" s="2">
        <f>E13*80%</f>
        <v>18</v>
      </c>
      <c r="J13" s="2">
        <f>E13*0.12%</f>
        <v>2.6999999999999996E-2</v>
      </c>
      <c r="K13" s="2">
        <f>E13*20%</f>
        <v>4.5</v>
      </c>
      <c r="L13" s="2">
        <v>0</v>
      </c>
      <c r="M13" s="2">
        <f>E13*10%</f>
        <v>2.25</v>
      </c>
      <c r="N13" s="2">
        <f>E13*58%</f>
        <v>13.049999999999999</v>
      </c>
      <c r="O13" s="2">
        <f>E13*23%</f>
        <v>5.1749999999999998</v>
      </c>
      <c r="P13" s="2">
        <f>E13*0.9%</f>
        <v>0.20250000000000001</v>
      </c>
      <c r="Q13" s="2">
        <v>57</v>
      </c>
      <c r="R13" s="2">
        <f>C13/1000*57</f>
        <v>1.71</v>
      </c>
    </row>
    <row r="14" spans="1:18" s="11" customFormat="1" ht="18">
      <c r="A14" s="5"/>
      <c r="B14" s="14" t="s">
        <v>31</v>
      </c>
      <c r="C14" s="2">
        <v>30</v>
      </c>
      <c r="D14" s="2">
        <f>C14*0.2</f>
        <v>6</v>
      </c>
      <c r="E14" s="2">
        <f>C14-D14</f>
        <v>24</v>
      </c>
      <c r="F14" s="2">
        <f>E14*1.3%</f>
        <v>0.31200000000000006</v>
      </c>
      <c r="G14" s="47">
        <f>E14*0.001</f>
        <v>2.4E-2</v>
      </c>
      <c r="H14" s="2">
        <f>E14*0.072</f>
        <v>1.7279999999999998</v>
      </c>
      <c r="I14" s="2">
        <f>E14*0.3</f>
        <v>7.1999999999999993</v>
      </c>
      <c r="J14" s="2">
        <f>E14*0.06%</f>
        <v>1.44E-2</v>
      </c>
      <c r="K14" s="2">
        <f>E14*5%</f>
        <v>1.2000000000000002</v>
      </c>
      <c r="L14" s="2">
        <v>0</v>
      </c>
      <c r="M14" s="2">
        <f>E14*51%</f>
        <v>12.24</v>
      </c>
      <c r="N14" s="2">
        <f>E14*55%</f>
        <v>13.200000000000001</v>
      </c>
      <c r="O14" s="2">
        <f>E14*38%</f>
        <v>9.120000000000001</v>
      </c>
      <c r="P14" s="2">
        <f>E14*0.7%</f>
        <v>0.16799999999999998</v>
      </c>
      <c r="Q14" s="2">
        <v>60</v>
      </c>
      <c r="R14" s="14">
        <f>C14/1000*60</f>
        <v>1.7999999999999998</v>
      </c>
    </row>
    <row r="15" spans="1:18" s="11" customFormat="1" ht="18">
      <c r="A15" s="5"/>
      <c r="B15" s="46" t="s">
        <v>36</v>
      </c>
      <c r="C15" s="2">
        <v>30</v>
      </c>
      <c r="D15" s="2">
        <f>C15*0.2</f>
        <v>6</v>
      </c>
      <c r="E15" s="2">
        <f>C15-D15</f>
        <v>24</v>
      </c>
      <c r="F15" s="2">
        <f>E15*0.015</f>
        <v>0.36</v>
      </c>
      <c r="G15" s="2">
        <f>E15*0.001</f>
        <v>2.4E-2</v>
      </c>
      <c r="H15" s="2">
        <f>E15*0.091</f>
        <v>2.1840000000000002</v>
      </c>
      <c r="I15" s="2">
        <f>E15*0.42</f>
        <v>10.08</v>
      </c>
      <c r="J15" s="2">
        <f>E15*0.02%</f>
        <v>4.8000000000000004E-3</v>
      </c>
      <c r="K15" s="2">
        <f>E15*10%</f>
        <v>2.4000000000000004</v>
      </c>
      <c r="L15" s="2">
        <v>0</v>
      </c>
      <c r="M15" s="2">
        <f>E15*37%</f>
        <v>8.879999999999999</v>
      </c>
      <c r="N15" s="2">
        <f>E15*43%</f>
        <v>10.32</v>
      </c>
      <c r="O15" s="2">
        <f>E15*22%</f>
        <v>5.28</v>
      </c>
      <c r="P15" s="2">
        <f>E15*1.4%</f>
        <v>0.33599999999999997</v>
      </c>
      <c r="Q15" s="2">
        <v>60</v>
      </c>
      <c r="R15" s="2">
        <f>C15/1000*60</f>
        <v>1.7999999999999998</v>
      </c>
    </row>
    <row r="16" spans="1:18" s="11" customFormat="1" ht="18">
      <c r="A16" s="53"/>
      <c r="B16" s="46" t="s">
        <v>37</v>
      </c>
      <c r="C16" s="54">
        <v>10</v>
      </c>
      <c r="D16" s="54">
        <v>0</v>
      </c>
      <c r="E16" s="54">
        <f>C16-D16</f>
        <v>10</v>
      </c>
      <c r="F16" s="54">
        <v>0</v>
      </c>
      <c r="G16" s="55">
        <f>E16*0.999</f>
        <v>9.99</v>
      </c>
      <c r="H16" s="54">
        <v>0</v>
      </c>
      <c r="I16" s="54">
        <f>E16*8.99</f>
        <v>89.9</v>
      </c>
      <c r="J16" s="54">
        <f>E16*0.06%</f>
        <v>5.9999999999999993E-3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180</v>
      </c>
      <c r="R16" s="54">
        <f>C16/1000*180</f>
        <v>1.8</v>
      </c>
    </row>
    <row r="17" spans="1:18" s="11" customFormat="1" ht="31.2">
      <c r="A17" s="5"/>
      <c r="B17" s="46" t="s">
        <v>30</v>
      </c>
      <c r="C17" s="2">
        <v>7</v>
      </c>
      <c r="D17" s="2">
        <v>0</v>
      </c>
      <c r="E17" s="2">
        <f>C17-D17</f>
        <v>7</v>
      </c>
      <c r="F17" s="2">
        <v>0</v>
      </c>
      <c r="G17" s="47">
        <f>E17*0.999</f>
        <v>6.9930000000000003</v>
      </c>
      <c r="H17" s="2">
        <v>0</v>
      </c>
      <c r="I17" s="2">
        <f>E17*8.99</f>
        <v>62.93</v>
      </c>
      <c r="J17" s="2">
        <f>E17*0.06%</f>
        <v>4.1999999999999997E-3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150</v>
      </c>
      <c r="R17" s="2">
        <f>C17/1000*150</f>
        <v>1.05</v>
      </c>
    </row>
    <row r="18" spans="1:18" s="11" customFormat="1" ht="18">
      <c r="A18" s="5"/>
      <c r="B18" s="48" t="s">
        <v>19</v>
      </c>
      <c r="C18" s="3">
        <f t="shared" ref="C18:P18" si="1">SUM(C13:C17)</f>
        <v>107</v>
      </c>
      <c r="D18" s="3">
        <f t="shared" si="1"/>
        <v>19.5</v>
      </c>
      <c r="E18" s="3">
        <f t="shared" si="1"/>
        <v>87.5</v>
      </c>
      <c r="F18" s="3">
        <f t="shared" si="1"/>
        <v>1.1219999999999999</v>
      </c>
      <c r="G18" s="3">
        <f t="shared" si="1"/>
        <v>17.121000000000002</v>
      </c>
      <c r="H18" s="3">
        <f t="shared" si="1"/>
        <v>7.5795000000000003</v>
      </c>
      <c r="I18" s="3">
        <f t="shared" si="1"/>
        <v>188.11</v>
      </c>
      <c r="J18" s="3">
        <f t="shared" si="1"/>
        <v>5.6399999999999992E-2</v>
      </c>
      <c r="K18" s="3">
        <f t="shared" si="1"/>
        <v>8.1000000000000014</v>
      </c>
      <c r="L18" s="3">
        <f t="shared" si="1"/>
        <v>0</v>
      </c>
      <c r="M18" s="3">
        <f t="shared" si="1"/>
        <v>23.369999999999997</v>
      </c>
      <c r="N18" s="3">
        <f t="shared" si="1"/>
        <v>36.57</v>
      </c>
      <c r="O18" s="3">
        <f t="shared" si="1"/>
        <v>19.575000000000003</v>
      </c>
      <c r="P18" s="3">
        <f t="shared" si="1"/>
        <v>0.70649999999999991</v>
      </c>
      <c r="Q18" s="3"/>
      <c r="R18" s="3">
        <f t="shared" ref="R18" si="2">SUM(R13:R17)</f>
        <v>8.16</v>
      </c>
    </row>
    <row r="19" spans="1:18" s="12" customFormat="1" ht="21">
      <c r="A19" s="49"/>
      <c r="B19" s="56" t="s">
        <v>23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8"/>
    </row>
    <row r="20" spans="1:18" s="13" customFormat="1" ht="18">
      <c r="A20" s="5"/>
      <c r="B20" s="4" t="s">
        <v>19</v>
      </c>
      <c r="C20" s="3">
        <v>30</v>
      </c>
      <c r="D20" s="3">
        <v>0</v>
      </c>
      <c r="E20" s="3">
        <v>30</v>
      </c>
      <c r="F20" s="3">
        <f>E20*7.9%</f>
        <v>2.37</v>
      </c>
      <c r="G20" s="3">
        <f>E20*1%</f>
        <v>0.3</v>
      </c>
      <c r="H20" s="3">
        <f>E20*48.1%</f>
        <v>14.430000000000001</v>
      </c>
      <c r="I20" s="3">
        <f>E20*239%</f>
        <v>71.7</v>
      </c>
      <c r="J20" s="3">
        <f>E20*0.16%</f>
        <v>4.8000000000000001E-2</v>
      </c>
      <c r="K20" s="3">
        <v>0</v>
      </c>
      <c r="L20" s="3">
        <v>0</v>
      </c>
      <c r="M20" s="3">
        <f>E20*23%</f>
        <v>6.9</v>
      </c>
      <c r="N20" s="3">
        <f>E20*87%</f>
        <v>26.1</v>
      </c>
      <c r="O20" s="3">
        <f>E20*33%</f>
        <v>9.9</v>
      </c>
      <c r="P20" s="3">
        <f>E20*2%</f>
        <v>0.6</v>
      </c>
      <c r="Q20" s="3">
        <v>50</v>
      </c>
      <c r="R20" s="3">
        <f>C20/1000*50</f>
        <v>1.5</v>
      </c>
    </row>
    <row r="21" spans="1:18" s="13" customFormat="1" ht="21">
      <c r="A21" s="59"/>
      <c r="B21" s="60" t="s">
        <v>38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2"/>
    </row>
    <row r="22" spans="1:18" s="6" customFormat="1" ht="18">
      <c r="A22" s="5"/>
      <c r="B22" s="2" t="s">
        <v>39</v>
      </c>
      <c r="C22" s="2">
        <v>1</v>
      </c>
      <c r="D22" s="2">
        <v>0</v>
      </c>
      <c r="E22" s="2">
        <f>C22-D22</f>
        <v>1</v>
      </c>
      <c r="F22" s="2">
        <f>E22*21.74%</f>
        <v>0.21739999999999998</v>
      </c>
      <c r="G22" s="2">
        <f>E22*7.61%</f>
        <v>7.6100000000000001E-2</v>
      </c>
      <c r="H22" s="2">
        <f>E22*2.86%</f>
        <v>2.86E-2</v>
      </c>
      <c r="I22" s="2">
        <f>E22*9.18%</f>
        <v>9.1799999999999993E-2</v>
      </c>
      <c r="J22" s="2">
        <f>E22*4.7%</f>
        <v>4.7E-2</v>
      </c>
      <c r="K22" s="2">
        <f>E22*11%</f>
        <v>0.11</v>
      </c>
      <c r="L22" s="2">
        <f>E22*5.6%</f>
        <v>5.5999999999999994E-2</v>
      </c>
      <c r="M22" s="2">
        <f>E22*50%</f>
        <v>0.5</v>
      </c>
      <c r="N22" s="2">
        <f>E22*10%</f>
        <v>0.1</v>
      </c>
      <c r="O22" s="2">
        <f>E22*110%</f>
        <v>1.1000000000000001</v>
      </c>
      <c r="P22" s="2">
        <f>E22*456%</f>
        <v>4.5599999999999996</v>
      </c>
      <c r="Q22" s="2">
        <v>950</v>
      </c>
      <c r="R22" s="2">
        <f>C22/1000*950</f>
        <v>0.95000000000000007</v>
      </c>
    </row>
    <row r="23" spans="1:18" s="13" customFormat="1" ht="18">
      <c r="A23" s="63"/>
      <c r="B23" s="2" t="s">
        <v>20</v>
      </c>
      <c r="C23" s="2">
        <v>15</v>
      </c>
      <c r="D23" s="2">
        <v>0</v>
      </c>
      <c r="E23" s="2">
        <v>15</v>
      </c>
      <c r="F23" s="2">
        <v>0</v>
      </c>
      <c r="G23" s="2">
        <v>0</v>
      </c>
      <c r="H23" s="2">
        <f>E23*99.8%</f>
        <v>14.97</v>
      </c>
      <c r="I23" s="2">
        <f>E23*379%</f>
        <v>56.85</v>
      </c>
      <c r="J23" s="2">
        <v>0</v>
      </c>
      <c r="K23" s="2">
        <v>0</v>
      </c>
      <c r="L23" s="2">
        <v>0</v>
      </c>
      <c r="M23" s="2">
        <f>E23*2%</f>
        <v>0.3</v>
      </c>
      <c r="N23" s="2">
        <v>0</v>
      </c>
      <c r="O23" s="2">
        <v>0</v>
      </c>
      <c r="P23" s="2">
        <f>E23*0.3%</f>
        <v>4.4999999999999998E-2</v>
      </c>
      <c r="Q23" s="2">
        <v>60</v>
      </c>
      <c r="R23" s="2">
        <f>C23/1000*60</f>
        <v>0.89999999999999991</v>
      </c>
    </row>
    <row r="24" spans="1:18" s="13" customFormat="1" ht="18">
      <c r="A24" s="63"/>
      <c r="B24" s="4" t="s">
        <v>19</v>
      </c>
      <c r="C24" s="3">
        <f>SUM(C22:C23)</f>
        <v>16</v>
      </c>
      <c r="D24" s="3">
        <f>SUM(D23:D23)</f>
        <v>0</v>
      </c>
      <c r="E24" s="3">
        <v>150</v>
      </c>
      <c r="F24" s="3">
        <f t="shared" ref="F24:P24" si="3">SUM(F23:F23)</f>
        <v>0</v>
      </c>
      <c r="G24" s="3">
        <f t="shared" si="3"/>
        <v>0</v>
      </c>
      <c r="H24" s="3">
        <f t="shared" si="3"/>
        <v>14.97</v>
      </c>
      <c r="I24" s="3">
        <f t="shared" si="3"/>
        <v>56.85</v>
      </c>
      <c r="J24" s="3">
        <f t="shared" si="3"/>
        <v>0</v>
      </c>
      <c r="K24" s="3">
        <f t="shared" si="3"/>
        <v>0</v>
      </c>
      <c r="L24" s="3">
        <f t="shared" si="3"/>
        <v>0</v>
      </c>
      <c r="M24" s="3">
        <f t="shared" si="3"/>
        <v>0.3</v>
      </c>
      <c r="N24" s="3">
        <f t="shared" si="3"/>
        <v>0</v>
      </c>
      <c r="O24" s="3">
        <f t="shared" si="3"/>
        <v>0</v>
      </c>
      <c r="P24" s="3">
        <f t="shared" si="3"/>
        <v>4.4999999999999998E-2</v>
      </c>
      <c r="Q24" s="3"/>
      <c r="R24" s="3">
        <f>SUM(R22:R23)</f>
        <v>1.85</v>
      </c>
    </row>
    <row r="25" spans="1:18" s="13" customFormat="1" ht="18">
      <c r="A25" s="5"/>
      <c r="B25" s="21" t="s">
        <v>24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5"/>
    </row>
    <row r="26" spans="1:18" ht="18">
      <c r="A26" s="5"/>
      <c r="B26" s="4" t="s">
        <v>19</v>
      </c>
      <c r="C26" s="3">
        <v>40</v>
      </c>
      <c r="D26" s="3">
        <v>0</v>
      </c>
      <c r="E26" s="3">
        <f>C26-D26</f>
        <v>40</v>
      </c>
      <c r="F26" s="2">
        <f>E26*7.5%</f>
        <v>3</v>
      </c>
      <c r="G26" s="2">
        <f>E26*11.8%</f>
        <v>4.7200000000000006</v>
      </c>
      <c r="H26" s="2">
        <f>E26*74.4%</f>
        <v>29.760000000000005</v>
      </c>
      <c r="I26" s="2">
        <f>E26*436%</f>
        <v>174.4</v>
      </c>
      <c r="J26" s="2">
        <f>E26*0.08%</f>
        <v>3.2000000000000001E-2</v>
      </c>
      <c r="K26" s="2">
        <f>E26*0%</f>
        <v>0</v>
      </c>
      <c r="L26" s="2">
        <f>E26*0%</f>
        <v>0</v>
      </c>
      <c r="M26" s="2">
        <f>E26*29%</f>
        <v>11.6</v>
      </c>
      <c r="N26" s="2">
        <f>E26*90%</f>
        <v>36</v>
      </c>
      <c r="O26" s="2">
        <f>E26*20%</f>
        <v>8</v>
      </c>
      <c r="P26" s="2">
        <f>E26*2.1%</f>
        <v>0.84000000000000008</v>
      </c>
      <c r="Q26" s="2">
        <v>160</v>
      </c>
      <c r="R26" s="3">
        <f>C26/1000*160</f>
        <v>6.4</v>
      </c>
    </row>
    <row r="27" spans="1:18" ht="21">
      <c r="A27" s="5"/>
      <c r="B27" s="56" t="s">
        <v>40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8"/>
    </row>
    <row r="28" spans="1:18" ht="18">
      <c r="A28" s="5"/>
      <c r="B28" s="4" t="s">
        <v>19</v>
      </c>
      <c r="C28" s="3">
        <v>140</v>
      </c>
      <c r="D28" s="3">
        <v>0</v>
      </c>
      <c r="E28" s="3">
        <v>125</v>
      </c>
      <c r="F28" s="3">
        <f>E28*0.4%</f>
        <v>0.5</v>
      </c>
      <c r="G28" s="3">
        <f>E28*0.4%</f>
        <v>0.5</v>
      </c>
      <c r="H28" s="3">
        <f>E28*9.8%</f>
        <v>12.25</v>
      </c>
      <c r="I28" s="3">
        <f>E28*45%</f>
        <v>56.25</v>
      </c>
      <c r="J28" s="3">
        <f>E28*0.03%</f>
        <v>3.7499999999999999E-2</v>
      </c>
      <c r="K28" s="3">
        <f>E28*13%</f>
        <v>16.25</v>
      </c>
      <c r="L28" s="3">
        <v>0</v>
      </c>
      <c r="M28" s="3">
        <f>E28*16%</f>
        <v>20</v>
      </c>
      <c r="N28" s="3">
        <f>E28*11%</f>
        <v>13.75</v>
      </c>
      <c r="O28" s="3">
        <f>E28*9%</f>
        <v>11.25</v>
      </c>
      <c r="P28" s="3">
        <f>E28*2.2%</f>
        <v>2.7500000000000004</v>
      </c>
      <c r="Q28" s="3">
        <v>78</v>
      </c>
      <c r="R28" s="3">
        <f>C28/1000*78</f>
        <v>10.920000000000002</v>
      </c>
    </row>
    <row r="29" spans="1:18" ht="21">
      <c r="A29" s="5"/>
      <c r="B29" s="66" t="s">
        <v>25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8"/>
    </row>
    <row r="30" spans="1:18" ht="18">
      <c r="A30" s="5"/>
      <c r="B30" s="4" t="s">
        <v>19</v>
      </c>
      <c r="C30" s="16">
        <v>3</v>
      </c>
      <c r="D30" s="3">
        <v>0</v>
      </c>
      <c r="E30" s="16">
        <f>C30-D30</f>
        <v>3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20</v>
      </c>
      <c r="R30" s="16">
        <f>C30/1000*20</f>
        <v>0.06</v>
      </c>
    </row>
    <row r="31" spans="1:18" ht="18">
      <c r="A31" s="5"/>
      <c r="B31" s="4"/>
      <c r="C31" s="16"/>
      <c r="D31" s="3"/>
      <c r="E31" s="1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6"/>
    </row>
    <row r="32" spans="1:18" ht="23.4">
      <c r="A32" s="63"/>
      <c r="B32" s="17" t="s">
        <v>19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>
        <f>R30+R28+R26+R24+R20+R18+R11</f>
        <v>60.980000000000004</v>
      </c>
    </row>
  </sheetData>
  <mergeCells count="27">
    <mergeCell ref="B25:R25"/>
    <mergeCell ref="B27:R27"/>
    <mergeCell ref="B29:R29"/>
    <mergeCell ref="A2:A3"/>
    <mergeCell ref="C2:C4"/>
    <mergeCell ref="J2:L2"/>
    <mergeCell ref="B5:R5"/>
    <mergeCell ref="B19:R19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  <mergeCell ref="M2:P2"/>
    <mergeCell ref="F2:F4"/>
    <mergeCell ref="B2:B3"/>
    <mergeCell ref="L3:L4"/>
    <mergeCell ref="M3:M4"/>
    <mergeCell ref="N3:N4"/>
    <mergeCell ref="B21:R21"/>
    <mergeCell ref="B12:R1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2021-12-29T10:28:20Z</dcterms:modified>
</cp:coreProperties>
</file>