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M27" s="1"/>
  <c r="O25"/>
  <c r="N25"/>
  <c r="L25"/>
  <c r="K25"/>
  <c r="J25"/>
  <c r="I25"/>
  <c r="G25"/>
  <c r="F25"/>
  <c r="D25"/>
  <c r="C25"/>
  <c r="R24"/>
  <c r="P24"/>
  <c r="P25" s="1"/>
  <c r="M24"/>
  <c r="M25" s="1"/>
  <c r="I24"/>
  <c r="H24"/>
  <c r="H25" s="1"/>
  <c r="R23"/>
  <c r="R25" s="1"/>
  <c r="E23"/>
  <c r="P23" s="1"/>
  <c r="R21"/>
  <c r="P21"/>
  <c r="O21"/>
  <c r="N21"/>
  <c r="M21"/>
  <c r="J21"/>
  <c r="I21"/>
  <c r="H21"/>
  <c r="G21"/>
  <c r="F21"/>
  <c r="L19"/>
  <c r="C19"/>
  <c r="R18"/>
  <c r="E18"/>
  <c r="M18" s="1"/>
  <c r="D18"/>
  <c r="R17"/>
  <c r="I17"/>
  <c r="E17"/>
  <c r="G17" s="1"/>
  <c r="R16"/>
  <c r="P16"/>
  <c r="K16"/>
  <c r="G16"/>
  <c r="E16"/>
  <c r="O16" s="1"/>
  <c r="D16"/>
  <c r="D19" s="1"/>
  <c r="R15"/>
  <c r="D15"/>
  <c r="E15" s="1"/>
  <c r="R14"/>
  <c r="E14"/>
  <c r="M14" s="1"/>
  <c r="D14"/>
  <c r="R13"/>
  <c r="M13"/>
  <c r="E13"/>
  <c r="N13" s="1"/>
  <c r="R12"/>
  <c r="R19" s="1"/>
  <c r="D12"/>
  <c r="E12" s="1"/>
  <c r="C10"/>
  <c r="R9"/>
  <c r="M9"/>
  <c r="G9"/>
  <c r="E9"/>
  <c r="P9" s="1"/>
  <c r="R8"/>
  <c r="P8"/>
  <c r="P10" s="1"/>
  <c r="K8"/>
  <c r="K10" s="1"/>
  <c r="G8"/>
  <c r="G10" s="1"/>
  <c r="E8"/>
  <c r="E10" s="1"/>
  <c r="D8"/>
  <c r="D10" s="1"/>
  <c r="R7"/>
  <c r="M7"/>
  <c r="H7"/>
  <c r="E7"/>
  <c r="P7" s="1"/>
  <c r="D7"/>
  <c r="R6"/>
  <c r="R10" s="1"/>
  <c r="D6"/>
  <c r="E6" s="1"/>
  <c r="M12" l="1"/>
  <c r="H12"/>
  <c r="I12"/>
  <c r="O12"/>
  <c r="J12"/>
  <c r="N12"/>
  <c r="P12"/>
  <c r="K12"/>
  <c r="F12"/>
  <c r="P15"/>
  <c r="K15"/>
  <c r="G15"/>
  <c r="M15"/>
  <c r="H15"/>
  <c r="N15"/>
  <c r="I15"/>
  <c r="O15"/>
  <c r="J15"/>
  <c r="F15"/>
  <c r="P6"/>
  <c r="J6"/>
  <c r="M6"/>
  <c r="N6"/>
  <c r="G6"/>
  <c r="I6"/>
  <c r="F6"/>
  <c r="O6"/>
  <c r="R31"/>
  <c r="J13"/>
  <c r="J7"/>
  <c r="I8"/>
  <c r="N8"/>
  <c r="I9"/>
  <c r="O9"/>
  <c r="H13"/>
  <c r="G14"/>
  <c r="K14"/>
  <c r="P14"/>
  <c r="I16"/>
  <c r="N16"/>
  <c r="G18"/>
  <c r="G19" s="1"/>
  <c r="K18"/>
  <c r="K19" s="1"/>
  <c r="P18"/>
  <c r="P19" s="1"/>
  <c r="G23"/>
  <c r="K23"/>
  <c r="O23"/>
  <c r="G27"/>
  <c r="K27"/>
  <c r="P27"/>
  <c r="I14"/>
  <c r="O7"/>
  <c r="I7"/>
  <c r="N7"/>
  <c r="H8"/>
  <c r="H10" s="1"/>
  <c r="M8"/>
  <c r="M10" s="1"/>
  <c r="H9"/>
  <c r="N9"/>
  <c r="F13"/>
  <c r="K13"/>
  <c r="P13"/>
  <c r="F14"/>
  <c r="J14"/>
  <c r="O14"/>
  <c r="H16"/>
  <c r="M16"/>
  <c r="M19" s="1"/>
  <c r="J17"/>
  <c r="F18"/>
  <c r="J18"/>
  <c r="O18"/>
  <c r="O19" s="1"/>
  <c r="F23"/>
  <c r="J23"/>
  <c r="N23"/>
  <c r="F27"/>
  <c r="J27"/>
  <c r="O27"/>
  <c r="O13"/>
  <c r="N14"/>
  <c r="I18"/>
  <c r="N18"/>
  <c r="I23"/>
  <c r="M23"/>
  <c r="I27"/>
  <c r="N27"/>
  <c r="F7"/>
  <c r="K7"/>
  <c r="F8"/>
  <c r="J8"/>
  <c r="J10" s="1"/>
  <c r="O8"/>
  <c r="F9"/>
  <c r="L9"/>
  <c r="L10" s="1"/>
  <c r="I13"/>
  <c r="H14"/>
  <c r="F16"/>
  <c r="F19" s="1"/>
  <c r="J16"/>
  <c r="J19" s="1"/>
  <c r="H18"/>
  <c r="H23"/>
  <c r="L23"/>
  <c r="H27"/>
  <c r="F10" l="1"/>
  <c r="I19"/>
  <c r="I10"/>
  <c r="O10"/>
  <c r="H19"/>
  <c r="N19"/>
  <c r="N10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<sst xmlns="http://schemas.openxmlformats.org/spreadsheetml/2006/main" count="48" uniqueCount="40">
  <si>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</si>
  <si>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</si>
  <si>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</si>
  <si>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</si>
  <si>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</si>
  <si>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</si>
  <si>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</si>
  <si>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</si>
  <si>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</si>
  <si>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</si>
  <si>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</si>
  <si>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</si>
  <si>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</si>
  <si>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</si>
  <si>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</si>
  <si>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</si>
  <si>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</si>
  <si>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</si>
  <si>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</si>
  <si>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</si>
  <si>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</si>
  <si>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</si>
  <si>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</si>
  <si>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сахар</t>
  </si>
  <si>
    <t>всего грамм</t>
  </si>
  <si>
    <t>1.жаркое по-домашнему</t>
  </si>
  <si>
    <t>мясо говядина</t>
  </si>
  <si>
    <t>лук</t>
  </si>
  <si>
    <t>картофель</t>
  </si>
  <si>
    <t>2.борщ с капустой на мясном бульоне</t>
  </si>
  <si>
    <t>томат</t>
  </si>
  <si>
    <t>морковь</t>
  </si>
  <si>
    <t>капуста</t>
  </si>
  <si>
    <t>свекла</t>
  </si>
  <si>
    <t>растит. масло</t>
  </si>
  <si>
    <t>4.чай</t>
  </si>
  <si>
    <t>чай</t>
  </si>
  <si>
    <t>5.яблоки</t>
  </si>
  <si>
    <t>6.соль</t>
  </si>
  <si>
    <t>МБОУ "Урагинская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</si>
</sst>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7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9" fillId="0" borderId="1" xfId="0" applyNumberFormat="1" applyFont="1" applyBorder="1"/>
    <xf numFmtId="2" fontId="12" fillId="0" borderId="1" xfId="0" applyNumberFormat="1" applyFont="1" applyBorder="1"/>
    <xf numFmtId="0" fontId="15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0" fontId="6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0" fontId="17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9" fillId="0" borderId="1" xfId="0" applyNumberFormat="1" applyFont="1" applyBorder="1" applyAlignment="1">
      <alignment horizontal="right"/>
    </xf>
    <xf numFmtId="1" fontId="19" fillId="0" borderId="1" xfId="0" applyNumberFormat="1" applyFont="1" applyBorder="1"/>
    <xf numFmtId="0" fontId="15" fillId="0" borderId="3" xfId="1" applyNumberFormat="1" applyFont="1" applyFill="1" applyBorder="1" applyAlignment="1" applyProtection="1">
      <alignment horizontal="center" vertical="top" wrapText="1"/>
    </xf>
    <xf numFmtId="0" fontId="15" fillId="0" borderId="4" xfId="1" applyNumberFormat="1" applyFont="1" applyFill="1" applyBorder="1" applyAlignment="1" applyProtection="1">
      <alignment horizontal="center" vertical="top" wrapText="1"/>
    </xf>
    <xf numFmtId="0" fontId="15" fillId="0" borderId="5" xfId="1" applyNumberFormat="1" applyFont="1" applyFill="1" applyBorder="1" applyAlignment="1" applyProtection="1">
      <alignment horizontal="center" vertical="top" wrapText="1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2" fontId="18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top" wrapText="1"/>
    </xf>
    <xf numFmtId="0" fontId="13" fillId="2" borderId="7" xfId="1" applyNumberFormat="1" applyFont="1" applyFill="1" applyBorder="1" applyAlignment="1" applyProtection="1">
      <alignment horizontal="center" vertical="top" wrapText="1"/>
    </xf>
    <xf numFmtId="0" fontId="13" fillId="2" borderId="6" xfId="1" applyNumberFormat="1" applyFont="1" applyFill="1" applyBorder="1" applyAlignment="1" applyProtection="1">
      <alignment horizontal="center" vertical="top" wrapText="1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7" xfId="1" applyNumberFormat="1" applyFont="1" applyFill="1" applyBorder="1" applyAlignment="1" applyProtection="1">
      <alignment horizontal="center" vertical="top"/>
    </xf>
    <xf numFmtId="0" fontId="14" fillId="2" borderId="6" xfId="1" applyNumberFormat="1" applyFont="1" applyFill="1" applyBorder="1" applyAlignment="1" applyProtection="1">
      <alignment horizontal="center" vertical="top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2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J3" sqref="J3:J4"/>
    </sheetView>
  </sheetViews>
  <sheetFormatPr defaultRowHeight="14.4"/>
  <cols>
    <col min="1" max="1" width="15.33203125" customWidth="1"/>
    <col min="2" max="2" width="12.6640625" customWidth="1"/>
    <col min="3" max="3" width="9.5546875" customWidth="1"/>
    <col min="4" max="4" width="14.109375" customWidth="1"/>
    <col min="10" max="10" width="12" customWidth="1"/>
  </cols>
  <sheetData>
    <row r="1" spans="1:18" ht="15.6">
      <c r="A1" s="1" t="s">
        <v>0</v>
      </c>
      <c r="B1" s="59" t="s">
        <v>39</v>
      </c>
      <c r="C1" s="1"/>
      <c r="D1" s="1"/>
      <c r="E1" s="1"/>
      <c r="F1" s="1"/>
      <c r="G1" s="1"/>
      <c r="H1" s="1"/>
      <c r="I1" s="1" t="s">
        <v>1</v>
      </c>
      <c r="J1" s="2">
        <v>44550</v>
      </c>
    </row>
    <row r="2" spans="1:18" ht="18.75" customHeight="1">
      <c r="A2" s="8"/>
      <c r="B2" s="40" t="s">
        <v>5</v>
      </c>
      <c r="C2" s="41" t="s">
        <v>24</v>
      </c>
      <c r="D2" s="44" t="s">
        <v>6</v>
      </c>
      <c r="E2" s="44" t="s">
        <v>7</v>
      </c>
      <c r="F2" s="28" t="s">
        <v>2</v>
      </c>
      <c r="G2" s="28" t="s">
        <v>3</v>
      </c>
      <c r="H2" s="28" t="s">
        <v>4</v>
      </c>
      <c r="I2" s="28" t="s">
        <v>8</v>
      </c>
      <c r="J2" s="47" t="s">
        <v>9</v>
      </c>
      <c r="K2" s="47"/>
      <c r="L2" s="47"/>
      <c r="M2" s="47" t="s">
        <v>10</v>
      </c>
      <c r="N2" s="47"/>
      <c r="O2" s="47"/>
      <c r="P2" s="47"/>
      <c r="Q2" s="53" t="s">
        <v>11</v>
      </c>
      <c r="R2" s="48" t="s">
        <v>12</v>
      </c>
    </row>
    <row r="3" spans="1:18" ht="15" customHeight="1">
      <c r="A3" s="8"/>
      <c r="B3" s="40"/>
      <c r="C3" s="42"/>
      <c r="D3" s="45"/>
      <c r="E3" s="45"/>
      <c r="F3" s="30"/>
      <c r="G3" s="30"/>
      <c r="H3" s="30"/>
      <c r="I3" s="30"/>
      <c r="J3" s="28" t="s">
        <v>13</v>
      </c>
      <c r="K3" s="51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54"/>
      <c r="R3" s="49"/>
    </row>
    <row r="4" spans="1:18" ht="20.399999999999999">
      <c r="A4" s="8"/>
      <c r="B4" s="13"/>
      <c r="C4" s="43"/>
      <c r="D4" s="46"/>
      <c r="E4" s="46"/>
      <c r="F4" s="29"/>
      <c r="G4" s="29"/>
      <c r="H4" s="29"/>
      <c r="I4" s="29"/>
      <c r="J4" s="29"/>
      <c r="K4" s="52"/>
      <c r="L4" s="29"/>
      <c r="M4" s="29"/>
      <c r="N4" s="29"/>
      <c r="O4" s="29"/>
      <c r="P4" s="29"/>
      <c r="Q4" s="55"/>
      <c r="R4" s="50"/>
    </row>
    <row r="5" spans="1:18" ht="20.399999999999999">
      <c r="A5" s="8"/>
      <c r="B5" s="21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18" ht="18">
      <c r="A6" s="3"/>
      <c r="B6" s="4" t="s">
        <v>26</v>
      </c>
      <c r="C6" s="5">
        <v>50</v>
      </c>
      <c r="D6" s="5">
        <f>C6*0.26</f>
        <v>13</v>
      </c>
      <c r="E6" s="5">
        <f>SUM(C6-D6)</f>
        <v>37</v>
      </c>
      <c r="F6" s="5">
        <f>E6*18.6%</f>
        <v>6.8820000000000006</v>
      </c>
      <c r="G6" s="5">
        <f>E6*16%</f>
        <v>5.92</v>
      </c>
      <c r="H6" s="5">
        <v>0</v>
      </c>
      <c r="I6" s="5">
        <f>E6*218%</f>
        <v>80.660000000000011</v>
      </c>
      <c r="J6" s="5">
        <f>E6*0.06%</f>
        <v>2.2199999999999998E-2</v>
      </c>
      <c r="K6" s="5">
        <v>0</v>
      </c>
      <c r="L6" s="5">
        <v>0</v>
      </c>
      <c r="M6" s="5">
        <f>E6*9%</f>
        <v>3.33</v>
      </c>
      <c r="N6" s="5">
        <f>E6*188%</f>
        <v>69.56</v>
      </c>
      <c r="O6" s="5">
        <f>E6*22%</f>
        <v>8.14</v>
      </c>
      <c r="P6" s="5">
        <f>E6*2.7%</f>
        <v>0.99900000000000011</v>
      </c>
      <c r="Q6" s="5">
        <v>475</v>
      </c>
      <c r="R6" s="5">
        <f>C6/1000*475</f>
        <v>23.75</v>
      </c>
    </row>
    <row r="7" spans="1:18" ht="18">
      <c r="A7" s="3"/>
      <c r="B7" s="4" t="s">
        <v>27</v>
      </c>
      <c r="C7" s="14">
        <v>10</v>
      </c>
      <c r="D7" s="5">
        <f>C7*0.16</f>
        <v>1.6</v>
      </c>
      <c r="E7" s="5">
        <f>C7-D7</f>
        <v>8.4</v>
      </c>
      <c r="F7" s="5">
        <f>E7*1.4%</f>
        <v>0.1176</v>
      </c>
      <c r="G7">
        <v>0</v>
      </c>
      <c r="H7" s="5">
        <f>E7*9.1%</f>
        <v>0.76439999999999997</v>
      </c>
      <c r="I7" s="5">
        <f>E7*41%</f>
        <v>3.444</v>
      </c>
      <c r="J7" s="5">
        <f>E7*0.05%</f>
        <v>4.2000000000000006E-3</v>
      </c>
      <c r="K7" s="5">
        <f>E7*10%</f>
        <v>0.84000000000000008</v>
      </c>
      <c r="L7" s="5">
        <v>0</v>
      </c>
      <c r="M7" s="5">
        <f>E7*31%</f>
        <v>2.6040000000000001</v>
      </c>
      <c r="N7" s="5">
        <f>E7*58%</f>
        <v>4.8719999999999999</v>
      </c>
      <c r="O7" s="5">
        <f>E7*14%</f>
        <v>1.1760000000000002</v>
      </c>
      <c r="P7" s="5">
        <f>E7*0.8%</f>
        <v>6.720000000000001E-2</v>
      </c>
      <c r="Q7" s="5">
        <v>40</v>
      </c>
      <c r="R7" s="5">
        <f>C7/1000*40</f>
        <v>0.4</v>
      </c>
    </row>
    <row r="8" spans="1:18" ht="18">
      <c r="A8" s="10"/>
      <c r="B8" s="4" t="s">
        <v>28</v>
      </c>
      <c r="C8" s="5">
        <v>60</v>
      </c>
      <c r="D8" s="5">
        <f>C8*25%</f>
        <v>15</v>
      </c>
      <c r="E8" s="5">
        <f>C8-D8</f>
        <v>45</v>
      </c>
      <c r="F8" s="5">
        <f>E8*2%</f>
        <v>0.9</v>
      </c>
      <c r="G8" s="5">
        <f>E8*0.4%</f>
        <v>0.18</v>
      </c>
      <c r="H8" s="5">
        <f>E8*16.3%</f>
        <v>7.335</v>
      </c>
      <c r="I8" s="5">
        <f>E8*80%</f>
        <v>36</v>
      </c>
      <c r="J8" s="5">
        <f>E8*0.12%</f>
        <v>5.3999999999999992E-2</v>
      </c>
      <c r="K8" s="5">
        <f>E8*20%</f>
        <v>9</v>
      </c>
      <c r="L8" s="5">
        <v>0</v>
      </c>
      <c r="M8" s="5">
        <f>E8*10%</f>
        <v>4.5</v>
      </c>
      <c r="N8" s="5">
        <f>E8*58%</f>
        <v>26.099999999999998</v>
      </c>
      <c r="O8" s="5">
        <f>E8*23%</f>
        <v>10.35</v>
      </c>
      <c r="P8" s="5">
        <f>E8*0.9%</f>
        <v>0.40500000000000003</v>
      </c>
      <c r="Q8" s="5">
        <v>57</v>
      </c>
      <c r="R8" s="5">
        <f>C8/1000*57</f>
        <v>3.42</v>
      </c>
    </row>
    <row r="9" spans="1:18" ht="18">
      <c r="A9" s="3"/>
      <c r="B9" s="4" t="s">
        <v>20</v>
      </c>
      <c r="C9" s="5">
        <v>10</v>
      </c>
      <c r="D9" s="5">
        <v>0</v>
      </c>
      <c r="E9" s="5">
        <f>C9-D9</f>
        <v>10</v>
      </c>
      <c r="F9" s="5">
        <f>E9*0.5%</f>
        <v>0.05</v>
      </c>
      <c r="G9" s="5">
        <f>E9*82.5%</f>
        <v>8.25</v>
      </c>
      <c r="H9" s="5">
        <f>E9*0.8%</f>
        <v>0.08</v>
      </c>
      <c r="I9" s="5">
        <f>E9*748%</f>
        <v>74.800000000000011</v>
      </c>
      <c r="J9" s="5">
        <v>0</v>
      </c>
      <c r="K9" s="5">
        <v>0</v>
      </c>
      <c r="L9" s="5">
        <f>E9*0.59%</f>
        <v>5.8999999999999997E-2</v>
      </c>
      <c r="M9" s="5">
        <f>E9*12%</f>
        <v>1.2</v>
      </c>
      <c r="N9" s="5">
        <f>E9*19%</f>
        <v>1.9</v>
      </c>
      <c r="O9" s="5">
        <f>E9*0.4%</f>
        <v>0.04</v>
      </c>
      <c r="P9" s="5">
        <f>E9*0.2%</f>
        <v>0.02</v>
      </c>
      <c r="Q9" s="5">
        <v>480</v>
      </c>
      <c r="R9" s="6">
        <f>C9/1000*480</f>
        <v>4.8</v>
      </c>
    </row>
    <row r="10" spans="1:18" ht="18">
      <c r="A10" s="10"/>
      <c r="B10" s="15" t="s">
        <v>21</v>
      </c>
      <c r="C10" s="16">
        <f t="shared" ref="C10:P10" si="0">SUM(C8:C9)</f>
        <v>70</v>
      </c>
      <c r="D10" s="16">
        <f t="shared" si="0"/>
        <v>15</v>
      </c>
      <c r="E10" s="16">
        <f t="shared" si="0"/>
        <v>55</v>
      </c>
      <c r="F10" s="16">
        <f t="shared" si="0"/>
        <v>0.95000000000000007</v>
      </c>
      <c r="G10" s="16">
        <f t="shared" si="0"/>
        <v>8.43</v>
      </c>
      <c r="H10" s="16">
        <f t="shared" si="0"/>
        <v>7.415</v>
      </c>
      <c r="I10" s="16">
        <f t="shared" si="0"/>
        <v>110.80000000000001</v>
      </c>
      <c r="J10" s="16">
        <f t="shared" si="0"/>
        <v>5.3999999999999992E-2</v>
      </c>
      <c r="K10" s="16">
        <f t="shared" si="0"/>
        <v>9</v>
      </c>
      <c r="L10" s="16">
        <f t="shared" si="0"/>
        <v>5.8999999999999997E-2</v>
      </c>
      <c r="M10" s="16">
        <f t="shared" si="0"/>
        <v>5.7</v>
      </c>
      <c r="N10" s="16">
        <f t="shared" si="0"/>
        <v>27.999999999999996</v>
      </c>
      <c r="O10" s="16">
        <f t="shared" si="0"/>
        <v>10.389999999999999</v>
      </c>
      <c r="P10" s="16">
        <f t="shared" si="0"/>
        <v>0.42500000000000004</v>
      </c>
      <c r="Q10" s="16"/>
      <c r="R10" s="16">
        <f>SUM(R6:R9)</f>
        <v>32.369999999999997</v>
      </c>
    </row>
    <row r="11" spans="1:18" ht="21">
      <c r="A11" s="10"/>
      <c r="B11" s="31" t="s">
        <v>29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r="12" spans="1:18" ht="18">
      <c r="A12" s="3"/>
      <c r="B12" s="4" t="s">
        <v>27</v>
      </c>
      <c r="C12" s="14">
        <v>20</v>
      </c>
      <c r="D12" s="5">
        <f>C12*0.16</f>
        <v>3.2</v>
      </c>
      <c r="E12" s="5">
        <f>C12-D12</f>
        <v>16.8</v>
      </c>
      <c r="F12" s="5">
        <f>E12*1.4%</f>
        <v>0.23519999999999999</v>
      </c>
      <c r="G12">
        <v>0</v>
      </c>
      <c r="H12" s="5">
        <f>E12*9.1%</f>
        <v>1.5287999999999999</v>
      </c>
      <c r="I12" s="5">
        <f>E12*41%</f>
        <v>6.8879999999999999</v>
      </c>
      <c r="J12" s="5">
        <f>E12*0.05%</f>
        <v>8.4000000000000012E-3</v>
      </c>
      <c r="K12" s="5">
        <f>E12*10%</f>
        <v>1.6800000000000002</v>
      </c>
      <c r="L12" s="5">
        <v>0</v>
      </c>
      <c r="M12" s="5">
        <f>E12*31%</f>
        <v>5.2080000000000002</v>
      </c>
      <c r="N12" s="5">
        <f>E12*58%</f>
        <v>9.7439999999999998</v>
      </c>
      <c r="O12" s="5">
        <f>E12*14%</f>
        <v>2.3520000000000003</v>
      </c>
      <c r="P12" s="5">
        <f>E12*0.8%</f>
        <v>0.13440000000000002</v>
      </c>
      <c r="Q12" s="5">
        <v>40</v>
      </c>
      <c r="R12" s="5">
        <f>C12/1000*40</f>
        <v>0.8</v>
      </c>
    </row>
    <row r="13" spans="1:18" ht="18">
      <c r="A13" s="10"/>
      <c r="B13" s="4" t="s">
        <v>30</v>
      </c>
      <c r="C13" s="14">
        <v>5</v>
      </c>
      <c r="D13" s="5">
        <v>0</v>
      </c>
      <c r="E13" s="5">
        <f>SUM(C13:D13)</f>
        <v>5</v>
      </c>
      <c r="F13" s="5">
        <f>E13*1%</f>
        <v>0.05</v>
      </c>
      <c r="G13" s="5">
        <v>0</v>
      </c>
      <c r="H13" s="5">
        <f>E13*3.5%</f>
        <v>0.17500000000000002</v>
      </c>
      <c r="I13" s="5">
        <f>E13*19%</f>
        <v>0.95</v>
      </c>
      <c r="J13" s="5">
        <f>E13*0.03%</f>
        <v>1.4999999999999998E-3</v>
      </c>
      <c r="K13" s="5">
        <f>E13*10%</f>
        <v>0.5</v>
      </c>
      <c r="L13" s="5">
        <v>0</v>
      </c>
      <c r="M13" s="5">
        <f>C13*7%</f>
        <v>0.35000000000000003</v>
      </c>
      <c r="N13" s="5">
        <f>E13*32%</f>
        <v>1.6</v>
      </c>
      <c r="O13" s="5">
        <f>E13*12%</f>
        <v>0.6</v>
      </c>
      <c r="P13" s="5">
        <f>E13*0.7%</f>
        <v>3.4999999999999996E-2</v>
      </c>
      <c r="Q13" s="5">
        <v>150</v>
      </c>
      <c r="R13" s="5">
        <f>C13/1000*150</f>
        <v>0.75</v>
      </c>
    </row>
    <row r="14" spans="1:18" ht="18">
      <c r="A14" s="10"/>
      <c r="B14" s="17" t="s">
        <v>31</v>
      </c>
      <c r="C14" s="14">
        <v>28</v>
      </c>
      <c r="D14" s="5">
        <f>C14*0.2</f>
        <v>5.6000000000000005</v>
      </c>
      <c r="E14" s="5">
        <f>C14-D14</f>
        <v>22.4</v>
      </c>
      <c r="F14" s="5">
        <f>E14*1.3%</f>
        <v>0.29120000000000001</v>
      </c>
      <c r="G14" s="18">
        <f>E14*0.001</f>
        <v>2.24E-2</v>
      </c>
      <c r="H14" s="5">
        <f>E14*0.072</f>
        <v>1.6127999999999998</v>
      </c>
      <c r="I14" s="5">
        <f>E14*0.3</f>
        <v>6.72</v>
      </c>
      <c r="J14" s="5">
        <f>E14*0.06%</f>
        <v>1.3439999999999999E-2</v>
      </c>
      <c r="K14" s="5">
        <f>E14*5%</f>
        <v>1.1199999999999999</v>
      </c>
      <c r="L14" s="5">
        <v>0</v>
      </c>
      <c r="M14" s="5">
        <f>E14*51%</f>
        <v>11.423999999999999</v>
      </c>
      <c r="N14" s="5">
        <f>E14*55%</f>
        <v>12.32</v>
      </c>
      <c r="O14" s="5">
        <f>E14*38%</f>
        <v>8.5119999999999987</v>
      </c>
      <c r="P14" s="5">
        <f>E14*0.7%</f>
        <v>0.15679999999999997</v>
      </c>
      <c r="Q14" s="5">
        <v>60</v>
      </c>
      <c r="R14" s="4">
        <f>C14/1000*60</f>
        <v>1.68</v>
      </c>
    </row>
    <row r="15" spans="1:18" ht="18">
      <c r="A15" s="10"/>
      <c r="B15" s="17" t="s">
        <v>32</v>
      </c>
      <c r="C15" s="14">
        <v>50</v>
      </c>
      <c r="D15" s="5">
        <f>C15*0.2</f>
        <v>10</v>
      </c>
      <c r="E15" s="5">
        <f>C15-D15</f>
        <v>40</v>
      </c>
      <c r="F15" s="5">
        <f>E15*0.018</f>
        <v>0.72</v>
      </c>
      <c r="G15" s="18">
        <f>E15*0.001</f>
        <v>0.04</v>
      </c>
      <c r="H15" s="5">
        <f>E15*0.047</f>
        <v>1.88</v>
      </c>
      <c r="I15" s="5">
        <f>E15*0.27</f>
        <v>10.8</v>
      </c>
      <c r="J15" s="5">
        <f>E15*0.03%</f>
        <v>1.1999999999999999E-2</v>
      </c>
      <c r="K15" s="5">
        <f>E15*45%</f>
        <v>18</v>
      </c>
      <c r="L15" s="5">
        <v>0</v>
      </c>
      <c r="M15" s="5">
        <f>E15*48%</f>
        <v>19.2</v>
      </c>
      <c r="N15" s="5">
        <f>E15*31%</f>
        <v>12.4</v>
      </c>
      <c r="O15" s="5">
        <f>E15*16%</f>
        <v>6.4</v>
      </c>
      <c r="P15" s="5">
        <f>E15*0.6%</f>
        <v>0.24</v>
      </c>
      <c r="Q15" s="5">
        <v>50</v>
      </c>
      <c r="R15" s="4">
        <f>C15/1000*50</f>
        <v>2.5</v>
      </c>
    </row>
    <row r="16" spans="1:18" ht="18">
      <c r="A16" s="3"/>
      <c r="B16" s="17" t="s">
        <v>33</v>
      </c>
      <c r="C16" s="14">
        <v>50</v>
      </c>
      <c r="D16" s="5">
        <f>C16*0.2</f>
        <v>10</v>
      </c>
      <c r="E16" s="5">
        <f>C16-D16</f>
        <v>40</v>
      </c>
      <c r="F16" s="5">
        <f>E16*0.015</f>
        <v>0.6</v>
      </c>
      <c r="G16" s="5">
        <f>E16*0.001</f>
        <v>0.04</v>
      </c>
      <c r="H16" s="5">
        <f>E16*0.091</f>
        <v>3.6399999999999997</v>
      </c>
      <c r="I16" s="5">
        <f>E16*0.42</f>
        <v>16.8</v>
      </c>
      <c r="J16" s="5">
        <f>E16*0.02%</f>
        <v>8.0000000000000002E-3</v>
      </c>
      <c r="K16" s="5">
        <f>E16*10%</f>
        <v>4</v>
      </c>
      <c r="L16" s="5">
        <v>0</v>
      </c>
      <c r="M16" s="5">
        <f>E16*37%</f>
        <v>14.8</v>
      </c>
      <c r="N16" s="5">
        <f>E16*43%</f>
        <v>17.2</v>
      </c>
      <c r="O16" s="5">
        <f>E16*22%</f>
        <v>8.8000000000000007</v>
      </c>
      <c r="P16" s="5">
        <f>E16*1.4%</f>
        <v>0.55999999999999994</v>
      </c>
      <c r="Q16" s="5">
        <v>60</v>
      </c>
      <c r="R16" s="5">
        <f>C16/1000*60</f>
        <v>3</v>
      </c>
    </row>
    <row r="17" spans="1:18" ht="31.2">
      <c r="A17" s="10"/>
      <c r="B17" s="17" t="s">
        <v>34</v>
      </c>
      <c r="C17" s="14">
        <v>10</v>
      </c>
      <c r="D17" s="5">
        <v>0</v>
      </c>
      <c r="E17" s="5">
        <f>C17-D17</f>
        <v>10</v>
      </c>
      <c r="F17" s="5">
        <v>0</v>
      </c>
      <c r="G17" s="18">
        <f>E17*0.999</f>
        <v>9.99</v>
      </c>
      <c r="H17" s="5">
        <v>0</v>
      </c>
      <c r="I17" s="5">
        <f>E17*8.99</f>
        <v>89.9</v>
      </c>
      <c r="J17" s="5">
        <f>E17*0.06%</f>
        <v>5.9999999999999993E-3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150</v>
      </c>
      <c r="R17" s="5">
        <f>C17/1000*150</f>
        <v>1.5</v>
      </c>
    </row>
    <row r="18" spans="1:18" ht="18">
      <c r="A18" s="10"/>
      <c r="B18" s="4" t="s">
        <v>28</v>
      </c>
      <c r="C18" s="14">
        <v>40</v>
      </c>
      <c r="D18" s="5">
        <f>C18*20%</f>
        <v>8</v>
      </c>
      <c r="E18" s="5">
        <f>C18-D18</f>
        <v>32</v>
      </c>
      <c r="F18" s="5">
        <f>E18*2%</f>
        <v>0.64</v>
      </c>
      <c r="G18" s="5">
        <f>E18*0.4%</f>
        <v>0.128</v>
      </c>
      <c r="H18" s="5">
        <f>E18*16.3%</f>
        <v>5.2160000000000002</v>
      </c>
      <c r="I18" s="5">
        <f>E18*80%</f>
        <v>25.6</v>
      </c>
      <c r="J18" s="5">
        <f>E18*0.12%</f>
        <v>3.8399999999999997E-2</v>
      </c>
      <c r="K18" s="5">
        <f>E18*20%</f>
        <v>6.4</v>
      </c>
      <c r="L18" s="5">
        <v>0</v>
      </c>
      <c r="M18" s="5">
        <f>E18*10%</f>
        <v>3.2</v>
      </c>
      <c r="N18" s="5">
        <f>E18*58%</f>
        <v>18.559999999999999</v>
      </c>
      <c r="O18" s="5">
        <f>E18*23%</f>
        <v>7.36</v>
      </c>
      <c r="P18" s="5">
        <f>E18*0.9%</f>
        <v>0.28800000000000003</v>
      </c>
      <c r="Q18" s="5">
        <v>57</v>
      </c>
      <c r="R18" s="5">
        <f>C18/1000*57</f>
        <v>2.2800000000000002</v>
      </c>
    </row>
    <row r="19" spans="1:18" ht="18">
      <c r="A19" s="10"/>
      <c r="B19" s="3" t="s">
        <v>21</v>
      </c>
      <c r="C19" s="19">
        <f>C18+C17+C16+C15+C14+C13</f>
        <v>183</v>
      </c>
      <c r="D19" s="7">
        <f>SUM(D16:D18)</f>
        <v>18</v>
      </c>
      <c r="E19" s="7">
        <v>250</v>
      </c>
      <c r="F19" s="7">
        <f t="shared" ref="F19:P19" si="1">SUM(F16:F18)</f>
        <v>1.24</v>
      </c>
      <c r="G19" s="7">
        <f t="shared" si="1"/>
        <v>10.157999999999999</v>
      </c>
      <c r="H19" s="7">
        <f t="shared" si="1"/>
        <v>8.8559999999999999</v>
      </c>
      <c r="I19" s="7">
        <f t="shared" si="1"/>
        <v>132.30000000000001</v>
      </c>
      <c r="J19" s="7">
        <f t="shared" si="1"/>
        <v>5.2399999999999995E-2</v>
      </c>
      <c r="K19" s="7">
        <f t="shared" si="1"/>
        <v>10.4</v>
      </c>
      <c r="L19" s="7">
        <f t="shared" si="1"/>
        <v>0</v>
      </c>
      <c r="M19" s="7">
        <f t="shared" si="1"/>
        <v>18</v>
      </c>
      <c r="N19" s="7">
        <f t="shared" si="1"/>
        <v>35.76</v>
      </c>
      <c r="O19" s="7">
        <f t="shared" si="1"/>
        <v>16.16</v>
      </c>
      <c r="P19" s="7">
        <f t="shared" si="1"/>
        <v>0.84799999999999998</v>
      </c>
      <c r="Q19" s="7"/>
      <c r="R19" s="7">
        <f>SUM(R12:R18)</f>
        <v>12.510000000000002</v>
      </c>
    </row>
    <row r="20" spans="1:18" ht="18">
      <c r="A20" s="10"/>
      <c r="B20" s="24" t="s">
        <v>22</v>
      </c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1:18" ht="18">
      <c r="A21" s="10"/>
      <c r="B21" s="9" t="s">
        <v>21</v>
      </c>
      <c r="C21" s="7">
        <v>50</v>
      </c>
      <c r="D21" s="7">
        <v>0</v>
      </c>
      <c r="E21" s="7">
        <v>50</v>
      </c>
      <c r="F21" s="7">
        <f>E21*7.9%</f>
        <v>3.95</v>
      </c>
      <c r="G21" s="7">
        <f>E21*1%</f>
        <v>0.5</v>
      </c>
      <c r="H21" s="7">
        <f>E21*48.1%</f>
        <v>24.05</v>
      </c>
      <c r="I21" s="7">
        <f>E21*239%</f>
        <v>119.5</v>
      </c>
      <c r="J21" s="7">
        <f>E21*0.16%</f>
        <v>0.08</v>
      </c>
      <c r="K21" s="7">
        <v>0</v>
      </c>
      <c r="L21" s="7">
        <v>0</v>
      </c>
      <c r="M21" s="7">
        <f>E21*23%</f>
        <v>11.5</v>
      </c>
      <c r="N21" s="7">
        <f>E21*87%</f>
        <v>43.5</v>
      </c>
      <c r="O21" s="7">
        <f>E21*33%</f>
        <v>16.5</v>
      </c>
      <c r="P21" s="7">
        <f>E21*2%</f>
        <v>1</v>
      </c>
      <c r="Q21" s="7">
        <v>50</v>
      </c>
      <c r="R21" s="7">
        <f>C21/1000*50</f>
        <v>2.5</v>
      </c>
    </row>
    <row r="22" spans="1:18" ht="21">
      <c r="A22" s="20"/>
      <c r="B22" s="56" t="s">
        <v>35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</row>
    <row r="23" spans="1:18" ht="18">
      <c r="A23" s="10"/>
      <c r="B23" s="5" t="s">
        <v>36</v>
      </c>
      <c r="C23" s="5">
        <v>1</v>
      </c>
      <c r="D23" s="5">
        <v>0</v>
      </c>
      <c r="E23" s="5">
        <f>C23-D23</f>
        <v>1</v>
      </c>
      <c r="F23" s="5">
        <f>E23*21.74%</f>
        <v>0.21739999999999998</v>
      </c>
      <c r="G23" s="5">
        <f>E23*7.61%</f>
        <v>7.6100000000000001E-2</v>
      </c>
      <c r="H23" s="5">
        <f>E23*2.86%</f>
        <v>2.86E-2</v>
      </c>
      <c r="I23" s="5">
        <f>E23*9.18%</f>
        <v>9.1799999999999993E-2</v>
      </c>
      <c r="J23" s="5">
        <f>E23*4.7%</f>
        <v>4.7E-2</v>
      </c>
      <c r="K23" s="5">
        <f>E23*11%</f>
        <v>0.11</v>
      </c>
      <c r="L23" s="5">
        <f>E23*5.6%</f>
        <v>5.5999999999999994E-2</v>
      </c>
      <c r="M23" s="5">
        <f>E23*50%</f>
        <v>0.5</v>
      </c>
      <c r="N23" s="5">
        <f>E23*10%</f>
        <v>0.1</v>
      </c>
      <c r="O23" s="5">
        <f>E23*110%</f>
        <v>1.1000000000000001</v>
      </c>
      <c r="P23" s="5">
        <f>E23*456%</f>
        <v>4.5599999999999996</v>
      </c>
      <c r="Q23" s="5">
        <v>950</v>
      </c>
      <c r="R23" s="5">
        <f>C23/1000*950</f>
        <v>0.95000000000000007</v>
      </c>
    </row>
    <row r="24" spans="1:18" ht="18">
      <c r="A24" s="8"/>
      <c r="B24" s="5" t="s">
        <v>23</v>
      </c>
      <c r="C24" s="5">
        <v>15</v>
      </c>
      <c r="D24" s="5">
        <v>0</v>
      </c>
      <c r="E24" s="5">
        <v>15</v>
      </c>
      <c r="F24" s="5">
        <v>0</v>
      </c>
      <c r="G24" s="5">
        <v>0</v>
      </c>
      <c r="H24" s="5">
        <f>E24*99.8%</f>
        <v>14.97</v>
      </c>
      <c r="I24" s="5">
        <f>E24*379%</f>
        <v>56.85</v>
      </c>
      <c r="J24" s="5">
        <v>0</v>
      </c>
      <c r="K24" s="5">
        <v>0</v>
      </c>
      <c r="L24" s="5">
        <v>0</v>
      </c>
      <c r="M24" s="5">
        <f>E24*2%</f>
        <v>0.3</v>
      </c>
      <c r="N24" s="5">
        <v>0</v>
      </c>
      <c r="O24" s="5">
        <v>0</v>
      </c>
      <c r="P24" s="5">
        <f>E24*0.3%</f>
        <v>4.4999999999999998E-2</v>
      </c>
      <c r="Q24" s="5">
        <v>60</v>
      </c>
      <c r="R24" s="5">
        <f>C24/1000*60</f>
        <v>0.89999999999999991</v>
      </c>
    </row>
    <row r="25" spans="1:18" ht="18">
      <c r="A25" s="8"/>
      <c r="B25" s="9" t="s">
        <v>21</v>
      </c>
      <c r="C25" s="7">
        <f>SUM(C23:C24)</f>
        <v>16</v>
      </c>
      <c r="D25" s="7">
        <f>SUM(D24:D24)</f>
        <v>0</v>
      </c>
      <c r="E25" s="7">
        <v>150</v>
      </c>
      <c r="F25" s="7">
        <f t="shared" ref="F25:P25" si="2">SUM(F24:F24)</f>
        <v>0</v>
      </c>
      <c r="G25" s="7">
        <f t="shared" si="2"/>
        <v>0</v>
      </c>
      <c r="H25" s="7">
        <f t="shared" si="2"/>
        <v>14.97</v>
      </c>
      <c r="I25" s="7">
        <f t="shared" si="2"/>
        <v>56.85</v>
      </c>
      <c r="J25" s="7">
        <f t="shared" si="2"/>
        <v>0</v>
      </c>
      <c r="K25" s="7">
        <f t="shared" si="2"/>
        <v>0</v>
      </c>
      <c r="L25" s="7">
        <f t="shared" si="2"/>
        <v>0</v>
      </c>
      <c r="M25" s="7">
        <f t="shared" si="2"/>
        <v>0.3</v>
      </c>
      <c r="N25" s="7">
        <f t="shared" si="2"/>
        <v>0</v>
      </c>
      <c r="O25" s="7">
        <f t="shared" si="2"/>
        <v>0</v>
      </c>
      <c r="P25" s="7">
        <f t="shared" si="2"/>
        <v>4.4999999999999998E-2</v>
      </c>
      <c r="Q25" s="7"/>
      <c r="R25" s="7">
        <f>SUM(R23:R24)</f>
        <v>1.85</v>
      </c>
    </row>
    <row r="26" spans="1:18" ht="18">
      <c r="A26" s="10"/>
      <c r="B26" s="34" t="s">
        <v>37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1:18" ht="18">
      <c r="A27" s="10"/>
      <c r="B27" s="9" t="s">
        <v>21</v>
      </c>
      <c r="C27" s="7">
        <v>150</v>
      </c>
      <c r="D27" s="7">
        <v>0</v>
      </c>
      <c r="E27" s="7">
        <f>C27-D27</f>
        <v>150</v>
      </c>
      <c r="F27" s="7">
        <f>E27*0.4%</f>
        <v>0.6</v>
      </c>
      <c r="G27" s="7">
        <f>E27*0.4%</f>
        <v>0.6</v>
      </c>
      <c r="H27" s="7">
        <f>E27*9.8%</f>
        <v>14.700000000000001</v>
      </c>
      <c r="I27" s="7">
        <f>E27*45%</f>
        <v>67.5</v>
      </c>
      <c r="J27" s="7">
        <f>E27*0.03%</f>
        <v>4.4999999999999998E-2</v>
      </c>
      <c r="K27" s="7">
        <f>E27*13%</f>
        <v>19.5</v>
      </c>
      <c r="L27" s="7">
        <v>0</v>
      </c>
      <c r="M27" s="7">
        <f>E27*16%</f>
        <v>24</v>
      </c>
      <c r="N27" s="7">
        <f>E27*11%</f>
        <v>16.5</v>
      </c>
      <c r="O27" s="7">
        <f>E27*9%</f>
        <v>13.5</v>
      </c>
      <c r="P27" s="7">
        <f>E27*2.2%</f>
        <v>3.3000000000000003</v>
      </c>
      <c r="Q27" s="7">
        <v>78</v>
      </c>
      <c r="R27" s="7">
        <f>C27/1000*78</f>
        <v>11.7</v>
      </c>
    </row>
    <row r="28" spans="1:18" ht="18">
      <c r="A28" s="8"/>
      <c r="B28" s="37" t="s">
        <v>38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1:18" ht="18">
      <c r="A29" s="8"/>
      <c r="B29" s="9" t="s">
        <v>21</v>
      </c>
      <c r="C29" s="11">
        <v>3</v>
      </c>
      <c r="D29" s="7">
        <v>0</v>
      </c>
      <c r="E29" s="11">
        <f>C29-D29</f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20</v>
      </c>
      <c r="R29" s="11">
        <f>C29/1000*20</f>
        <v>0.06</v>
      </c>
    </row>
    <row r="30" spans="1:18" ht="18">
      <c r="A30" s="8"/>
      <c r="B30" s="9"/>
      <c r="C30" s="11"/>
      <c r="D30" s="7"/>
      <c r="E30" s="1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1"/>
    </row>
    <row r="31" spans="1:18" ht="23.4">
      <c r="A31" s="8"/>
      <c r="B31" s="12" t="s">
        <v>21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f>R29+R27+R25+R21+R19+R10</f>
        <v>60.989999999999995</v>
      </c>
    </row>
  </sheetData>
  <mergeCells count="25">
    <mergeCell ref="B26:R26"/>
    <mergeCell ref="B28:R28"/>
    <mergeCell ref="B2:B3"/>
    <mergeCell ref="C2:C4"/>
    <mergeCell ref="D2:D4"/>
    <mergeCell ref="E2:E4"/>
    <mergeCell ref="G2:G4"/>
    <mergeCell ref="H2:H4"/>
    <mergeCell ref="I2:I4"/>
    <mergeCell ref="J2:L2"/>
    <mergeCell ref="M2:P2"/>
    <mergeCell ref="R2:R4"/>
    <mergeCell ref="J3:J4"/>
    <mergeCell ref="K3:K4"/>
    <mergeCell ref="Q2:Q4"/>
    <mergeCell ref="B22:R22"/>
    <mergeCell ref="B5:R5"/>
    <mergeCell ref="B20:R20"/>
    <mergeCell ref="L3:L4"/>
    <mergeCell ref="M3:M4"/>
    <mergeCell ref="N3:N4"/>
    <mergeCell ref="O3:O4"/>
    <mergeCell ref="P3:P4"/>
    <mergeCell ref="F2:F4"/>
    <mergeCell ref="B11:R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2021-12-19T17:36:08Z</dcterms:modified>
</cp:coreProperties>
</file>