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3256" windowHeight="12336"/>
  </bookViews>
  <sheets>
    <sheet name="меню" sheetId="1" r:id="rId1"/>
    <sheet name="Лист2" sheetId="2" r:id="rId2"/>
    <sheet name="титул" sheetId="3" r:id="rId3"/>
  </sheets>
  <calcPr calcId="124519"/>
</workbook>
</file>

<file path=xl/calcChain.xml><?xml version="1.0" encoding="utf-8"?>
<calcChain xmlns="http://schemas.openxmlformats.org/spreadsheetml/2006/main">
  <c r="R291" i="1"/>
  <c r="E291"/>
  <c r="R289"/>
  <c r="P289"/>
  <c r="O289"/>
  <c r="N289"/>
  <c r="M289"/>
  <c r="K289"/>
  <c r="J289"/>
  <c r="I289"/>
  <c r="H289"/>
  <c r="F289"/>
  <c r="L287"/>
  <c r="G287"/>
  <c r="D287"/>
  <c r="R286"/>
  <c r="P286"/>
  <c r="M286"/>
  <c r="I286"/>
  <c r="H286"/>
  <c r="R285"/>
  <c r="P285"/>
  <c r="O285"/>
  <c r="O287" s="1"/>
  <c r="N285"/>
  <c r="N287" s="1"/>
  <c r="M285"/>
  <c r="K285"/>
  <c r="K287" s="1"/>
  <c r="J285"/>
  <c r="J287" s="1"/>
  <c r="I285"/>
  <c r="H285"/>
  <c r="F285"/>
  <c r="F287" s="1"/>
  <c r="R283"/>
  <c r="P283"/>
  <c r="O283"/>
  <c r="N283"/>
  <c r="M283"/>
  <c r="J283"/>
  <c r="I283"/>
  <c r="H283"/>
  <c r="G283"/>
  <c r="F283"/>
  <c r="K281"/>
  <c r="C281"/>
  <c r="R280"/>
  <c r="R281" s="1"/>
  <c r="D280"/>
  <c r="E280" s="1"/>
  <c r="C278"/>
  <c r="R277"/>
  <c r="E277"/>
  <c r="M277" s="1"/>
  <c r="R276"/>
  <c r="D276"/>
  <c r="D278" s="1"/>
  <c r="R169"/>
  <c r="E169"/>
  <c r="R167"/>
  <c r="E167"/>
  <c r="M167" s="1"/>
  <c r="L165"/>
  <c r="G165"/>
  <c r="D165"/>
  <c r="R164"/>
  <c r="P164"/>
  <c r="M164"/>
  <c r="I164"/>
  <c r="H164"/>
  <c r="R163"/>
  <c r="P163"/>
  <c r="O163"/>
  <c r="O165" s="1"/>
  <c r="N163"/>
  <c r="N165" s="1"/>
  <c r="M163"/>
  <c r="K163"/>
  <c r="K165" s="1"/>
  <c r="J163"/>
  <c r="J165" s="1"/>
  <c r="I163"/>
  <c r="H163"/>
  <c r="F163"/>
  <c r="F165" s="1"/>
  <c r="R161"/>
  <c r="P161"/>
  <c r="O161"/>
  <c r="N161"/>
  <c r="M161"/>
  <c r="J161"/>
  <c r="I161"/>
  <c r="H161"/>
  <c r="G161"/>
  <c r="F161"/>
  <c r="C159"/>
  <c r="R158"/>
  <c r="E158"/>
  <c r="N158" s="1"/>
  <c r="R157"/>
  <c r="D157"/>
  <c r="E157" s="1"/>
  <c r="H155"/>
  <c r="D155"/>
  <c r="C155"/>
  <c r="R154"/>
  <c r="E154"/>
  <c r="J154" s="1"/>
  <c r="R153"/>
  <c r="D153"/>
  <c r="E153" s="1"/>
  <c r="R465"/>
  <c r="E465"/>
  <c r="R463"/>
  <c r="E463"/>
  <c r="F463" s="1"/>
  <c r="O461"/>
  <c r="N461"/>
  <c r="L461"/>
  <c r="K461"/>
  <c r="J461"/>
  <c r="G461"/>
  <c r="F461"/>
  <c r="D461"/>
  <c r="C461"/>
  <c r="R460"/>
  <c r="P460"/>
  <c r="P461" s="1"/>
  <c r="M460"/>
  <c r="M461" s="1"/>
  <c r="I460"/>
  <c r="I461" s="1"/>
  <c r="H460"/>
  <c r="H461" s="1"/>
  <c r="R459"/>
  <c r="E459"/>
  <c r="N459" s="1"/>
  <c r="R457"/>
  <c r="P457"/>
  <c r="O457"/>
  <c r="N457"/>
  <c r="M457"/>
  <c r="J457"/>
  <c r="I457"/>
  <c r="H457"/>
  <c r="G457"/>
  <c r="F457"/>
  <c r="L455"/>
  <c r="C455"/>
  <c r="R454"/>
  <c r="E454"/>
  <c r="J454" s="1"/>
  <c r="R453"/>
  <c r="M453"/>
  <c r="E453"/>
  <c r="H453" s="1"/>
  <c r="R452"/>
  <c r="E452"/>
  <c r="P452" s="1"/>
  <c r="R451"/>
  <c r="D451"/>
  <c r="E451" s="1"/>
  <c r="R450"/>
  <c r="E450"/>
  <c r="O450" s="1"/>
  <c r="R449"/>
  <c r="D449"/>
  <c r="E449" s="1"/>
  <c r="K447"/>
  <c r="D447"/>
  <c r="C447"/>
  <c r="R446"/>
  <c r="E446"/>
  <c r="O446" s="1"/>
  <c r="R445"/>
  <c r="P445"/>
  <c r="O445"/>
  <c r="N445"/>
  <c r="M445"/>
  <c r="J445"/>
  <c r="J447" s="1"/>
  <c r="I445"/>
  <c r="H445"/>
  <c r="G445"/>
  <c r="F445"/>
  <c r="R435"/>
  <c r="E435"/>
  <c r="R433"/>
  <c r="P433"/>
  <c r="O433"/>
  <c r="N433"/>
  <c r="M433"/>
  <c r="K433"/>
  <c r="J433"/>
  <c r="I433"/>
  <c r="H433"/>
  <c r="F433"/>
  <c r="L431"/>
  <c r="G431"/>
  <c r="D431"/>
  <c r="R430"/>
  <c r="P430"/>
  <c r="M430"/>
  <c r="I430"/>
  <c r="H430"/>
  <c r="R429"/>
  <c r="P429"/>
  <c r="O429"/>
  <c r="O431" s="1"/>
  <c r="N429"/>
  <c r="N431" s="1"/>
  <c r="M429"/>
  <c r="K429"/>
  <c r="K431" s="1"/>
  <c r="J429"/>
  <c r="J431" s="1"/>
  <c r="I429"/>
  <c r="H429"/>
  <c r="F429"/>
  <c r="F431" s="1"/>
  <c r="R427"/>
  <c r="P427"/>
  <c r="O427"/>
  <c r="N427"/>
  <c r="M427"/>
  <c r="J427"/>
  <c r="I427"/>
  <c r="H427"/>
  <c r="G427"/>
  <c r="F427"/>
  <c r="K425"/>
  <c r="C425"/>
  <c r="R424"/>
  <c r="R425" s="1"/>
  <c r="D424"/>
  <c r="D425" s="1"/>
  <c r="C422"/>
  <c r="R421"/>
  <c r="E421"/>
  <c r="P421" s="1"/>
  <c r="R420"/>
  <c r="D420"/>
  <c r="D422" s="1"/>
  <c r="R410"/>
  <c r="E410"/>
  <c r="R408"/>
  <c r="E408"/>
  <c r="M408" s="1"/>
  <c r="O406"/>
  <c r="N406"/>
  <c r="L406"/>
  <c r="K406"/>
  <c r="J406"/>
  <c r="G406"/>
  <c r="F406"/>
  <c r="D406"/>
  <c r="C406"/>
  <c r="R405"/>
  <c r="P405"/>
  <c r="P406" s="1"/>
  <c r="M405"/>
  <c r="M406" s="1"/>
  <c r="I405"/>
  <c r="I406" s="1"/>
  <c r="H405"/>
  <c r="H406" s="1"/>
  <c r="R404"/>
  <c r="E404"/>
  <c r="P404" s="1"/>
  <c r="R402"/>
  <c r="P402"/>
  <c r="O402"/>
  <c r="N402"/>
  <c r="M402"/>
  <c r="J402"/>
  <c r="I402"/>
  <c r="H402"/>
  <c r="G402"/>
  <c r="F402"/>
  <c r="L400"/>
  <c r="C400"/>
  <c r="R399"/>
  <c r="D399"/>
  <c r="E399" s="1"/>
  <c r="M399" s="1"/>
  <c r="R398"/>
  <c r="E398"/>
  <c r="G398" s="1"/>
  <c r="R397"/>
  <c r="D397"/>
  <c r="R396"/>
  <c r="D396"/>
  <c r="E396" s="1"/>
  <c r="P396" s="1"/>
  <c r="R395"/>
  <c r="D395"/>
  <c r="E395" s="1"/>
  <c r="M395" s="1"/>
  <c r="R394"/>
  <c r="M394"/>
  <c r="E394"/>
  <c r="N394" s="1"/>
  <c r="R393"/>
  <c r="D393"/>
  <c r="E393" s="1"/>
  <c r="M393" s="1"/>
  <c r="C391"/>
  <c r="R390"/>
  <c r="E390"/>
  <c r="P390" s="1"/>
  <c r="R389"/>
  <c r="D389"/>
  <c r="D391" s="1"/>
  <c r="R388"/>
  <c r="D388"/>
  <c r="E388" s="1"/>
  <c r="R387"/>
  <c r="D387"/>
  <c r="E387" s="1"/>
  <c r="R376"/>
  <c r="E376"/>
  <c r="R374"/>
  <c r="E374"/>
  <c r="M374" s="1"/>
  <c r="R372"/>
  <c r="E372"/>
  <c r="M372" s="1"/>
  <c r="L370"/>
  <c r="G370"/>
  <c r="D370"/>
  <c r="R369"/>
  <c r="P369"/>
  <c r="M369"/>
  <c r="I369"/>
  <c r="H369"/>
  <c r="R368"/>
  <c r="P368"/>
  <c r="O368"/>
  <c r="O370" s="1"/>
  <c r="N368"/>
  <c r="N370" s="1"/>
  <c r="M368"/>
  <c r="K368"/>
  <c r="K370" s="1"/>
  <c r="J368"/>
  <c r="J370" s="1"/>
  <c r="I368"/>
  <c r="H368"/>
  <c r="F368"/>
  <c r="F370" s="1"/>
  <c r="R366"/>
  <c r="E366"/>
  <c r="N366" s="1"/>
  <c r="K364"/>
  <c r="C364"/>
  <c r="R363"/>
  <c r="R364" s="1"/>
  <c r="D363"/>
  <c r="D364" s="1"/>
  <c r="K361"/>
  <c r="C361"/>
  <c r="R360"/>
  <c r="E360"/>
  <c r="N360" s="1"/>
  <c r="R359"/>
  <c r="E359"/>
  <c r="M359" s="1"/>
  <c r="P277" l="1"/>
  <c r="I287"/>
  <c r="F277"/>
  <c r="R278"/>
  <c r="E276"/>
  <c r="P276" s="1"/>
  <c r="L277"/>
  <c r="L278" s="1"/>
  <c r="H287"/>
  <c r="M287"/>
  <c r="R287"/>
  <c r="R293" s="1"/>
  <c r="E281"/>
  <c r="P287"/>
  <c r="D281"/>
  <c r="M280"/>
  <c r="M281" s="1"/>
  <c r="H280"/>
  <c r="H281" s="1"/>
  <c r="J280"/>
  <c r="J281" s="1"/>
  <c r="L280"/>
  <c r="L281" s="1"/>
  <c r="N280"/>
  <c r="N281" s="1"/>
  <c r="I280"/>
  <c r="I281" s="1"/>
  <c r="O280"/>
  <c r="O281" s="1"/>
  <c r="F280"/>
  <c r="F281" s="1"/>
  <c r="P280"/>
  <c r="P281" s="1"/>
  <c r="G280"/>
  <c r="G281" s="1"/>
  <c r="H277"/>
  <c r="N277"/>
  <c r="I277"/>
  <c r="O277"/>
  <c r="G277"/>
  <c r="L158"/>
  <c r="L159" s="1"/>
  <c r="R159"/>
  <c r="M165"/>
  <c r="G154"/>
  <c r="F158"/>
  <c r="P165"/>
  <c r="F167"/>
  <c r="M157"/>
  <c r="F157"/>
  <c r="F159" s="1"/>
  <c r="J157"/>
  <c r="J159" s="1"/>
  <c r="E159"/>
  <c r="O157"/>
  <c r="M153"/>
  <c r="M155" s="1"/>
  <c r="F153"/>
  <c r="F155" s="1"/>
  <c r="K153"/>
  <c r="K155" s="1"/>
  <c r="O153"/>
  <c r="O155" s="1"/>
  <c r="D159"/>
  <c r="I165"/>
  <c r="R155"/>
  <c r="P158"/>
  <c r="J167"/>
  <c r="H165"/>
  <c r="R165"/>
  <c r="O167"/>
  <c r="N153"/>
  <c r="N155" s="1"/>
  <c r="I157"/>
  <c r="O158"/>
  <c r="N167"/>
  <c r="G153"/>
  <c r="L153"/>
  <c r="L155" s="1"/>
  <c r="P153"/>
  <c r="P155" s="1"/>
  <c r="I154"/>
  <c r="G157"/>
  <c r="K157"/>
  <c r="K159" s="1"/>
  <c r="P157"/>
  <c r="G158"/>
  <c r="M158"/>
  <c r="G167"/>
  <c r="K167"/>
  <c r="P167"/>
  <c r="J153"/>
  <c r="J155" s="1"/>
  <c r="N157"/>
  <c r="N159" s="1"/>
  <c r="I158"/>
  <c r="I167"/>
  <c r="I153"/>
  <c r="H157"/>
  <c r="H158"/>
  <c r="H167"/>
  <c r="J408"/>
  <c r="M431"/>
  <c r="E455"/>
  <c r="R422"/>
  <c r="H390"/>
  <c r="I398"/>
  <c r="R461"/>
  <c r="F366"/>
  <c r="H431"/>
  <c r="R431"/>
  <c r="G446"/>
  <c r="G447" s="1"/>
  <c r="E363"/>
  <c r="E364" s="1"/>
  <c r="O374"/>
  <c r="R370"/>
  <c r="O372"/>
  <c r="P446"/>
  <c r="G372"/>
  <c r="F395"/>
  <c r="D400"/>
  <c r="J398"/>
  <c r="F399"/>
  <c r="F404"/>
  <c r="P447"/>
  <c r="H446"/>
  <c r="H447" s="1"/>
  <c r="O447"/>
  <c r="F360"/>
  <c r="P370"/>
  <c r="J372"/>
  <c r="J374"/>
  <c r="G390"/>
  <c r="R400"/>
  <c r="J399"/>
  <c r="F408"/>
  <c r="H421"/>
  <c r="R447"/>
  <c r="N446"/>
  <c r="N447" s="1"/>
  <c r="K453"/>
  <c r="G454"/>
  <c r="P394"/>
  <c r="K450"/>
  <c r="R455"/>
  <c r="P450"/>
  <c r="R361"/>
  <c r="P360"/>
  <c r="P366"/>
  <c r="I370"/>
  <c r="H370"/>
  <c r="F372"/>
  <c r="N372"/>
  <c r="F374"/>
  <c r="N390"/>
  <c r="K394"/>
  <c r="O395"/>
  <c r="N404"/>
  <c r="I431"/>
  <c r="F446"/>
  <c r="F447" s="1"/>
  <c r="M446"/>
  <c r="M447" s="1"/>
  <c r="M449"/>
  <c r="H450"/>
  <c r="N450"/>
  <c r="F453"/>
  <c r="R406"/>
  <c r="E425"/>
  <c r="P431"/>
  <c r="I450"/>
  <c r="L360"/>
  <c r="L361" s="1"/>
  <c r="J366"/>
  <c r="M370"/>
  <c r="K372"/>
  <c r="R391"/>
  <c r="M390"/>
  <c r="F394"/>
  <c r="J395"/>
  <c r="O399"/>
  <c r="J404"/>
  <c r="O408"/>
  <c r="N421"/>
  <c r="E424"/>
  <c r="P424" s="1"/>
  <c r="P425" s="1"/>
  <c r="L446"/>
  <c r="L447" s="1"/>
  <c r="F449"/>
  <c r="F450"/>
  <c r="M450"/>
  <c r="P453"/>
  <c r="I454"/>
  <c r="O451"/>
  <c r="J451"/>
  <c r="H451"/>
  <c r="I451"/>
  <c r="P451"/>
  <c r="K451"/>
  <c r="F451"/>
  <c r="M451"/>
  <c r="N451"/>
  <c r="I452"/>
  <c r="D455"/>
  <c r="I463"/>
  <c r="J449"/>
  <c r="H452"/>
  <c r="O453"/>
  <c r="H459"/>
  <c r="L459"/>
  <c r="P459"/>
  <c r="H463"/>
  <c r="I449"/>
  <c r="O449"/>
  <c r="G452"/>
  <c r="M452"/>
  <c r="I453"/>
  <c r="N453"/>
  <c r="G459"/>
  <c r="K459"/>
  <c r="O459"/>
  <c r="G463"/>
  <c r="O452"/>
  <c r="I459"/>
  <c r="M459"/>
  <c r="P449"/>
  <c r="N452"/>
  <c r="J453"/>
  <c r="I446"/>
  <c r="I447" s="1"/>
  <c r="G449"/>
  <c r="N449"/>
  <c r="J450"/>
  <c r="F452"/>
  <c r="J452"/>
  <c r="F459"/>
  <c r="J459"/>
  <c r="E420"/>
  <c r="I421"/>
  <c r="O421"/>
  <c r="G421"/>
  <c r="M421"/>
  <c r="F421"/>
  <c r="L421"/>
  <c r="L422" s="1"/>
  <c r="P388"/>
  <c r="K388"/>
  <c r="F388"/>
  <c r="O388"/>
  <c r="J388"/>
  <c r="M388"/>
  <c r="H388"/>
  <c r="N388"/>
  <c r="I388"/>
  <c r="P387"/>
  <c r="J387"/>
  <c r="G387"/>
  <c r="O387"/>
  <c r="I387"/>
  <c r="M387"/>
  <c r="F387"/>
  <c r="N387"/>
  <c r="J393"/>
  <c r="O393"/>
  <c r="I396"/>
  <c r="I393"/>
  <c r="N393"/>
  <c r="J394"/>
  <c r="O394"/>
  <c r="I395"/>
  <c r="M396"/>
  <c r="I399"/>
  <c r="N399"/>
  <c r="I404"/>
  <c r="E389"/>
  <c r="I390"/>
  <c r="O390"/>
  <c r="F393"/>
  <c r="K393"/>
  <c r="P393"/>
  <c r="H394"/>
  <c r="G395"/>
  <c r="K395"/>
  <c r="P395"/>
  <c r="F396"/>
  <c r="J396"/>
  <c r="O396"/>
  <c r="E397"/>
  <c r="G399"/>
  <c r="K399"/>
  <c r="P399"/>
  <c r="G404"/>
  <c r="K404"/>
  <c r="O404"/>
  <c r="G408"/>
  <c r="K408"/>
  <c r="P408"/>
  <c r="N396"/>
  <c r="N395"/>
  <c r="H396"/>
  <c r="M404"/>
  <c r="I408"/>
  <c r="N408"/>
  <c r="F390"/>
  <c r="L390"/>
  <c r="L391" s="1"/>
  <c r="H393"/>
  <c r="I394"/>
  <c r="H395"/>
  <c r="G396"/>
  <c r="K396"/>
  <c r="H399"/>
  <c r="H404"/>
  <c r="L404"/>
  <c r="H408"/>
  <c r="I359"/>
  <c r="H359"/>
  <c r="O360"/>
  <c r="I366"/>
  <c r="F359"/>
  <c r="J359"/>
  <c r="J361" s="1"/>
  <c r="P359"/>
  <c r="G360"/>
  <c r="M360"/>
  <c r="M361" s="1"/>
  <c r="G366"/>
  <c r="M366"/>
  <c r="H372"/>
  <c r="L372"/>
  <c r="P372"/>
  <c r="G374"/>
  <c r="K374"/>
  <c r="P374"/>
  <c r="O359"/>
  <c r="N359"/>
  <c r="N361" s="1"/>
  <c r="I360"/>
  <c r="O366"/>
  <c r="I374"/>
  <c r="N374"/>
  <c r="G359"/>
  <c r="H360"/>
  <c r="H366"/>
  <c r="I372"/>
  <c r="H374"/>
  <c r="R491"/>
  <c r="R306"/>
  <c r="R302"/>
  <c r="R262"/>
  <c r="E262"/>
  <c r="M262" s="1"/>
  <c r="E264"/>
  <c r="N264" s="1"/>
  <c r="R264"/>
  <c r="R249"/>
  <c r="R237"/>
  <c r="R227"/>
  <c r="R216"/>
  <c r="R141"/>
  <c r="R93"/>
  <c r="R89"/>
  <c r="R107"/>
  <c r="R321"/>
  <c r="E321"/>
  <c r="O321" s="1"/>
  <c r="R347"/>
  <c r="E347"/>
  <c r="P347" s="1"/>
  <c r="L260"/>
  <c r="G260"/>
  <c r="D260"/>
  <c r="R259"/>
  <c r="P259"/>
  <c r="M259"/>
  <c r="I259"/>
  <c r="H259"/>
  <c r="R258"/>
  <c r="P258"/>
  <c r="O258"/>
  <c r="O260" s="1"/>
  <c r="N258"/>
  <c r="N260" s="1"/>
  <c r="M258"/>
  <c r="K258"/>
  <c r="K260" s="1"/>
  <c r="J258"/>
  <c r="J260" s="1"/>
  <c r="I258"/>
  <c r="H258"/>
  <c r="F258"/>
  <c r="F260" s="1"/>
  <c r="E237"/>
  <c r="G237" s="1"/>
  <c r="R204"/>
  <c r="E204"/>
  <c r="O204" s="1"/>
  <c r="E107"/>
  <c r="I107" s="1"/>
  <c r="O52"/>
  <c r="N52"/>
  <c r="L52"/>
  <c r="K52"/>
  <c r="J52"/>
  <c r="G52"/>
  <c r="F52"/>
  <c r="D52"/>
  <c r="C52"/>
  <c r="R51"/>
  <c r="P51"/>
  <c r="P52" s="1"/>
  <c r="M51"/>
  <c r="M52" s="1"/>
  <c r="I51"/>
  <c r="I52" s="1"/>
  <c r="H51"/>
  <c r="H52" s="1"/>
  <c r="R50"/>
  <c r="E50"/>
  <c r="M50" s="1"/>
  <c r="L75"/>
  <c r="G75"/>
  <c r="D75"/>
  <c r="O75"/>
  <c r="K75"/>
  <c r="J75"/>
  <c r="R54"/>
  <c r="R42"/>
  <c r="R33"/>
  <c r="R21"/>
  <c r="R493"/>
  <c r="E493"/>
  <c r="E491"/>
  <c r="H491" s="1"/>
  <c r="R489"/>
  <c r="E489"/>
  <c r="M489" s="1"/>
  <c r="R487"/>
  <c r="E487"/>
  <c r="N487" s="1"/>
  <c r="R485"/>
  <c r="P485"/>
  <c r="O485"/>
  <c r="N485"/>
  <c r="M485"/>
  <c r="J485"/>
  <c r="I485"/>
  <c r="H485"/>
  <c r="G485"/>
  <c r="F485"/>
  <c r="D483"/>
  <c r="R482"/>
  <c r="E482"/>
  <c r="N482" s="1"/>
  <c r="R481"/>
  <c r="E481"/>
  <c r="I481" s="1"/>
  <c r="R480"/>
  <c r="E480"/>
  <c r="P480" s="1"/>
  <c r="K478"/>
  <c r="R477"/>
  <c r="E477"/>
  <c r="M477" s="1"/>
  <c r="R476"/>
  <c r="E476"/>
  <c r="P476" s="1"/>
  <c r="R475"/>
  <c r="E475"/>
  <c r="O475" s="1"/>
  <c r="I276" l="1"/>
  <c r="K276"/>
  <c r="K278" s="1"/>
  <c r="N276"/>
  <c r="N278" s="1"/>
  <c r="M276"/>
  <c r="M278" s="1"/>
  <c r="J276"/>
  <c r="J278" s="1"/>
  <c r="P278"/>
  <c r="G276"/>
  <c r="G278" s="1"/>
  <c r="H276"/>
  <c r="F276"/>
  <c r="F278" s="1"/>
  <c r="O276"/>
  <c r="O278" s="1"/>
  <c r="M159"/>
  <c r="E278"/>
  <c r="G155"/>
  <c r="I278"/>
  <c r="H278"/>
  <c r="O159"/>
  <c r="R171"/>
  <c r="R437"/>
  <c r="P159"/>
  <c r="H159"/>
  <c r="I159"/>
  <c r="I155"/>
  <c r="G159"/>
  <c r="O361"/>
  <c r="F363"/>
  <c r="F364" s="1"/>
  <c r="G361"/>
  <c r="K262"/>
  <c r="L363"/>
  <c r="L364" s="1"/>
  <c r="H363"/>
  <c r="H364" s="1"/>
  <c r="J363"/>
  <c r="J364" s="1"/>
  <c r="M363"/>
  <c r="M364" s="1"/>
  <c r="F424"/>
  <c r="F425" s="1"/>
  <c r="N424"/>
  <c r="N425" s="1"/>
  <c r="R467"/>
  <c r="N363"/>
  <c r="N364" s="1"/>
  <c r="G363"/>
  <c r="G364" s="1"/>
  <c r="I363"/>
  <c r="I364" s="1"/>
  <c r="F455"/>
  <c r="P363"/>
  <c r="P364" s="1"/>
  <c r="O363"/>
  <c r="O364" s="1"/>
  <c r="F361"/>
  <c r="R412"/>
  <c r="R378"/>
  <c r="G424"/>
  <c r="G425" s="1"/>
  <c r="M424"/>
  <c r="M425" s="1"/>
  <c r="O424"/>
  <c r="O425" s="1"/>
  <c r="H424"/>
  <c r="H425" s="1"/>
  <c r="J424"/>
  <c r="J425" s="1"/>
  <c r="L424"/>
  <c r="L425" s="1"/>
  <c r="I424"/>
  <c r="I425" s="1"/>
  <c r="N455"/>
  <c r="I361"/>
  <c r="M455"/>
  <c r="P361"/>
  <c r="K455"/>
  <c r="G455"/>
  <c r="P455"/>
  <c r="O455"/>
  <c r="J455"/>
  <c r="H455"/>
  <c r="I455"/>
  <c r="E422"/>
  <c r="O420"/>
  <c r="O422" s="1"/>
  <c r="J420"/>
  <c r="J422" s="1"/>
  <c r="F420"/>
  <c r="F422" s="1"/>
  <c r="H420"/>
  <c r="H422" s="1"/>
  <c r="P420"/>
  <c r="P422" s="1"/>
  <c r="K420"/>
  <c r="K422" s="1"/>
  <c r="G420"/>
  <c r="G422" s="1"/>
  <c r="M420"/>
  <c r="M422" s="1"/>
  <c r="N420"/>
  <c r="N422" s="1"/>
  <c r="I420"/>
  <c r="I422" s="1"/>
  <c r="E391"/>
  <c r="O389"/>
  <c r="O391" s="1"/>
  <c r="J389"/>
  <c r="J391" s="1"/>
  <c r="F389"/>
  <c r="F391" s="1"/>
  <c r="P389"/>
  <c r="P391" s="1"/>
  <c r="M389"/>
  <c r="M391" s="1"/>
  <c r="N389"/>
  <c r="N391" s="1"/>
  <c r="I389"/>
  <c r="I391" s="1"/>
  <c r="K389"/>
  <c r="K391" s="1"/>
  <c r="G389"/>
  <c r="G391" s="1"/>
  <c r="H389"/>
  <c r="H391" s="1"/>
  <c r="O397"/>
  <c r="O400" s="1"/>
  <c r="J397"/>
  <c r="J400" s="1"/>
  <c r="F397"/>
  <c r="F400" s="1"/>
  <c r="P397"/>
  <c r="P400" s="1"/>
  <c r="K397"/>
  <c r="K400" s="1"/>
  <c r="H397"/>
  <c r="H400" s="1"/>
  <c r="N397"/>
  <c r="N400" s="1"/>
  <c r="I397"/>
  <c r="I400" s="1"/>
  <c r="G397"/>
  <c r="G400" s="1"/>
  <c r="M397"/>
  <c r="M400" s="1"/>
  <c r="H361"/>
  <c r="F262"/>
  <c r="G262"/>
  <c r="L262"/>
  <c r="N262"/>
  <c r="P262"/>
  <c r="H262"/>
  <c r="H260"/>
  <c r="R260"/>
  <c r="J262"/>
  <c r="O262"/>
  <c r="H264"/>
  <c r="I264"/>
  <c r="M264"/>
  <c r="I262"/>
  <c r="G264"/>
  <c r="K264"/>
  <c r="P264"/>
  <c r="F264"/>
  <c r="J264"/>
  <c r="O264"/>
  <c r="K321"/>
  <c r="I321"/>
  <c r="P321"/>
  <c r="H321"/>
  <c r="N321"/>
  <c r="F321"/>
  <c r="M321"/>
  <c r="J321"/>
  <c r="O347"/>
  <c r="J347"/>
  <c r="M260"/>
  <c r="F347"/>
  <c r="I347"/>
  <c r="N347"/>
  <c r="H347"/>
  <c r="M347"/>
  <c r="G347"/>
  <c r="K347"/>
  <c r="P260"/>
  <c r="P489"/>
  <c r="F237"/>
  <c r="I260"/>
  <c r="I237"/>
  <c r="H237"/>
  <c r="K204"/>
  <c r="I204"/>
  <c r="P204"/>
  <c r="H204"/>
  <c r="N204"/>
  <c r="F204"/>
  <c r="M204"/>
  <c r="J204"/>
  <c r="K489"/>
  <c r="R75"/>
  <c r="H107"/>
  <c r="R483"/>
  <c r="G489"/>
  <c r="G107"/>
  <c r="J480"/>
  <c r="F489"/>
  <c r="F107"/>
  <c r="R52"/>
  <c r="L477"/>
  <c r="L478" s="1"/>
  <c r="G491"/>
  <c r="P75"/>
  <c r="M75"/>
  <c r="R478"/>
  <c r="F477"/>
  <c r="L489"/>
  <c r="F491"/>
  <c r="I75"/>
  <c r="H50"/>
  <c r="L50"/>
  <c r="P50"/>
  <c r="G50"/>
  <c r="K50"/>
  <c r="O50"/>
  <c r="F50"/>
  <c r="J50"/>
  <c r="N50"/>
  <c r="I50"/>
  <c r="J482"/>
  <c r="P482"/>
  <c r="N475"/>
  <c r="G480"/>
  <c r="O480"/>
  <c r="H482"/>
  <c r="O482"/>
  <c r="J489"/>
  <c r="O489"/>
  <c r="J475"/>
  <c r="P477"/>
  <c r="P478" s="1"/>
  <c r="F480"/>
  <c r="N480"/>
  <c r="N483" s="1"/>
  <c r="H481"/>
  <c r="G482"/>
  <c r="M482"/>
  <c r="H489"/>
  <c r="N489"/>
  <c r="F475"/>
  <c r="K480"/>
  <c r="K483" s="1"/>
  <c r="F482"/>
  <c r="L482"/>
  <c r="I476"/>
  <c r="I487"/>
  <c r="M487"/>
  <c r="N476"/>
  <c r="I477"/>
  <c r="P481"/>
  <c r="L487"/>
  <c r="H477"/>
  <c r="N477"/>
  <c r="I480"/>
  <c r="M480"/>
  <c r="M481"/>
  <c r="G487"/>
  <c r="K487"/>
  <c r="O487"/>
  <c r="I491"/>
  <c r="O476"/>
  <c r="I475"/>
  <c r="M475"/>
  <c r="H476"/>
  <c r="H478" s="1"/>
  <c r="O477"/>
  <c r="H487"/>
  <c r="P487"/>
  <c r="H475"/>
  <c r="L475"/>
  <c r="P475"/>
  <c r="G476"/>
  <c r="M476"/>
  <c r="M478" s="1"/>
  <c r="G475"/>
  <c r="K475"/>
  <c r="F476"/>
  <c r="J476"/>
  <c r="J478" s="1"/>
  <c r="G477"/>
  <c r="H480"/>
  <c r="L480"/>
  <c r="I482"/>
  <c r="F487"/>
  <c r="J487"/>
  <c r="I489"/>
  <c r="R494" l="1"/>
  <c r="H483"/>
  <c r="P483"/>
  <c r="M483"/>
  <c r="J483"/>
  <c r="G478"/>
  <c r="N478"/>
  <c r="F478"/>
  <c r="L483"/>
  <c r="I483"/>
  <c r="F483"/>
  <c r="G483"/>
  <c r="O483"/>
  <c r="O478"/>
  <c r="I478"/>
  <c r="R349" l="1"/>
  <c r="E349"/>
  <c r="L345"/>
  <c r="G345"/>
  <c r="D345"/>
  <c r="R344"/>
  <c r="P344"/>
  <c r="M344"/>
  <c r="I344"/>
  <c r="H344"/>
  <c r="R343"/>
  <c r="P343"/>
  <c r="O343"/>
  <c r="O345" s="1"/>
  <c r="N343"/>
  <c r="N345" s="1"/>
  <c r="M343"/>
  <c r="K343"/>
  <c r="K345" s="1"/>
  <c r="J343"/>
  <c r="J345" s="1"/>
  <c r="I343"/>
  <c r="H343"/>
  <c r="F343"/>
  <c r="F345" s="1"/>
  <c r="R341"/>
  <c r="P341"/>
  <c r="O341"/>
  <c r="N341"/>
  <c r="M341"/>
  <c r="J341"/>
  <c r="I341"/>
  <c r="H341"/>
  <c r="G341"/>
  <c r="F341"/>
  <c r="C339"/>
  <c r="R338"/>
  <c r="E338"/>
  <c r="O338" s="1"/>
  <c r="R337"/>
  <c r="D337"/>
  <c r="D339" s="1"/>
  <c r="H335"/>
  <c r="D335"/>
  <c r="C335"/>
  <c r="R334"/>
  <c r="E334"/>
  <c r="G334" s="1"/>
  <c r="R333"/>
  <c r="D333"/>
  <c r="E333" s="1"/>
  <c r="R266"/>
  <c r="E266"/>
  <c r="R256"/>
  <c r="P256"/>
  <c r="O256"/>
  <c r="N256"/>
  <c r="M256"/>
  <c r="J256"/>
  <c r="I256"/>
  <c r="H256"/>
  <c r="G256"/>
  <c r="F256"/>
  <c r="K254"/>
  <c r="C254"/>
  <c r="R253"/>
  <c r="R254" s="1"/>
  <c r="D253"/>
  <c r="E253" s="1"/>
  <c r="K251"/>
  <c r="D251"/>
  <c r="C251"/>
  <c r="R250"/>
  <c r="E250"/>
  <c r="O250" s="1"/>
  <c r="E249"/>
  <c r="O249" s="1"/>
  <c r="R206"/>
  <c r="E206"/>
  <c r="R202"/>
  <c r="E202"/>
  <c r="M202" s="1"/>
  <c r="O200"/>
  <c r="N200"/>
  <c r="L200"/>
  <c r="K200"/>
  <c r="J200"/>
  <c r="G200"/>
  <c r="F200"/>
  <c r="D200"/>
  <c r="R199"/>
  <c r="P199"/>
  <c r="P200" s="1"/>
  <c r="M199"/>
  <c r="M200" s="1"/>
  <c r="I199"/>
  <c r="I200" s="1"/>
  <c r="H199"/>
  <c r="H200" s="1"/>
  <c r="R198"/>
  <c r="E198"/>
  <c r="M198" s="1"/>
  <c r="R196"/>
  <c r="P196"/>
  <c r="O196"/>
  <c r="N196"/>
  <c r="M196"/>
  <c r="J196"/>
  <c r="I196"/>
  <c r="H196"/>
  <c r="G196"/>
  <c r="F196"/>
  <c r="L194"/>
  <c r="C194"/>
  <c r="R193"/>
  <c r="E193"/>
  <c r="G193" s="1"/>
  <c r="R192"/>
  <c r="E192"/>
  <c r="I192" s="1"/>
  <c r="R191"/>
  <c r="D191"/>
  <c r="E191" s="1"/>
  <c r="R190"/>
  <c r="D190"/>
  <c r="E190" s="1"/>
  <c r="R189"/>
  <c r="D189"/>
  <c r="E189" s="1"/>
  <c r="C187"/>
  <c r="R186"/>
  <c r="E186"/>
  <c r="O186" s="1"/>
  <c r="R185"/>
  <c r="D185"/>
  <c r="E185" s="1"/>
  <c r="R184"/>
  <c r="D184"/>
  <c r="E184" s="1"/>
  <c r="R183"/>
  <c r="P183"/>
  <c r="O183"/>
  <c r="N183"/>
  <c r="M183"/>
  <c r="L183"/>
  <c r="J183"/>
  <c r="I183"/>
  <c r="H183"/>
  <c r="G183"/>
  <c r="F183"/>
  <c r="D183"/>
  <c r="R239"/>
  <c r="E239"/>
  <c r="O235"/>
  <c r="N235"/>
  <c r="L235"/>
  <c r="K235"/>
  <c r="J235"/>
  <c r="G235"/>
  <c r="F235"/>
  <c r="D235"/>
  <c r="C235"/>
  <c r="R234"/>
  <c r="P234"/>
  <c r="P235" s="1"/>
  <c r="M234"/>
  <c r="M235" s="1"/>
  <c r="I234"/>
  <c r="I235" s="1"/>
  <c r="H234"/>
  <c r="H235" s="1"/>
  <c r="R233"/>
  <c r="E233"/>
  <c r="M233" s="1"/>
  <c r="R231"/>
  <c r="E231"/>
  <c r="N231" s="1"/>
  <c r="L229"/>
  <c r="C229"/>
  <c r="R228"/>
  <c r="J228"/>
  <c r="I228"/>
  <c r="G228"/>
  <c r="D227"/>
  <c r="E227" s="1"/>
  <c r="R226"/>
  <c r="E226"/>
  <c r="G226" s="1"/>
  <c r="R225"/>
  <c r="D225"/>
  <c r="E225" s="1"/>
  <c r="L223"/>
  <c r="C223"/>
  <c r="R222"/>
  <c r="E222"/>
  <c r="G222" s="1"/>
  <c r="R221"/>
  <c r="M221"/>
  <c r="E221"/>
  <c r="N221" s="1"/>
  <c r="R220"/>
  <c r="D220"/>
  <c r="E220" s="1"/>
  <c r="R219"/>
  <c r="E219"/>
  <c r="M219" s="1"/>
  <c r="R218"/>
  <c r="E218"/>
  <c r="M218" s="1"/>
  <c r="R217"/>
  <c r="D217"/>
  <c r="E217" s="1"/>
  <c r="D216"/>
  <c r="E119"/>
  <c r="H119" s="1"/>
  <c r="R119"/>
  <c r="E120"/>
  <c r="J120" s="1"/>
  <c r="R120"/>
  <c r="D121"/>
  <c r="R121"/>
  <c r="D122"/>
  <c r="E122" s="1"/>
  <c r="R122"/>
  <c r="D123"/>
  <c r="F123"/>
  <c r="G123"/>
  <c r="H123"/>
  <c r="I123"/>
  <c r="J123"/>
  <c r="L123"/>
  <c r="L124" s="1"/>
  <c r="M123"/>
  <c r="N123"/>
  <c r="O123"/>
  <c r="P123"/>
  <c r="R123"/>
  <c r="C124"/>
  <c r="D126"/>
  <c r="R126"/>
  <c r="D127"/>
  <c r="E127" s="1"/>
  <c r="R127"/>
  <c r="D128"/>
  <c r="E128" s="1"/>
  <c r="H128" s="1"/>
  <c r="R128"/>
  <c r="E129"/>
  <c r="J129" s="1"/>
  <c r="R129"/>
  <c r="E130"/>
  <c r="I130" s="1"/>
  <c r="R130"/>
  <c r="C131"/>
  <c r="L131"/>
  <c r="F133"/>
  <c r="G133"/>
  <c r="H133"/>
  <c r="I133"/>
  <c r="J133"/>
  <c r="M133"/>
  <c r="N133"/>
  <c r="O133"/>
  <c r="P133"/>
  <c r="R133"/>
  <c r="E135"/>
  <c r="H135" s="1"/>
  <c r="R135"/>
  <c r="H136"/>
  <c r="H137" s="1"/>
  <c r="I136"/>
  <c r="I137" s="1"/>
  <c r="M136"/>
  <c r="M137" s="1"/>
  <c r="P136"/>
  <c r="P137" s="1"/>
  <c r="R136"/>
  <c r="C137"/>
  <c r="D137"/>
  <c r="F137"/>
  <c r="G137"/>
  <c r="J137"/>
  <c r="K137"/>
  <c r="L137"/>
  <c r="N137"/>
  <c r="O137"/>
  <c r="E139"/>
  <c r="H139" s="1"/>
  <c r="R139"/>
  <c r="F141"/>
  <c r="G141"/>
  <c r="H141"/>
  <c r="I141"/>
  <c r="J141"/>
  <c r="K141"/>
  <c r="M141"/>
  <c r="N141"/>
  <c r="O141"/>
  <c r="P141"/>
  <c r="E143"/>
  <c r="R143"/>
  <c r="R79"/>
  <c r="E79"/>
  <c r="R72"/>
  <c r="P72"/>
  <c r="O72"/>
  <c r="N72"/>
  <c r="M72"/>
  <c r="J72"/>
  <c r="I72"/>
  <c r="H72"/>
  <c r="G72"/>
  <c r="F72"/>
  <c r="K70"/>
  <c r="C70"/>
  <c r="R70"/>
  <c r="D69"/>
  <c r="E69" s="1"/>
  <c r="C67"/>
  <c r="E66"/>
  <c r="N66" s="1"/>
  <c r="D65"/>
  <c r="E65" s="1"/>
  <c r="R56"/>
  <c r="E56"/>
  <c r="E54"/>
  <c r="M54" s="1"/>
  <c r="R48"/>
  <c r="P48"/>
  <c r="O48"/>
  <c r="N48"/>
  <c r="M48"/>
  <c r="J48"/>
  <c r="I48"/>
  <c r="H48"/>
  <c r="G48"/>
  <c r="F48"/>
  <c r="L46"/>
  <c r="C46"/>
  <c r="R45"/>
  <c r="D45"/>
  <c r="E45" s="1"/>
  <c r="R44"/>
  <c r="E44"/>
  <c r="G44" s="1"/>
  <c r="R43"/>
  <c r="D43"/>
  <c r="E43" s="1"/>
  <c r="O43" s="1"/>
  <c r="D42"/>
  <c r="E42" s="1"/>
  <c r="P42" s="1"/>
  <c r="R41"/>
  <c r="D41"/>
  <c r="E41" s="1"/>
  <c r="M41" s="1"/>
  <c r="R40"/>
  <c r="M40"/>
  <c r="E40"/>
  <c r="N40" s="1"/>
  <c r="R39"/>
  <c r="D39"/>
  <c r="E39" s="1"/>
  <c r="M39" s="1"/>
  <c r="C37"/>
  <c r="R36"/>
  <c r="E36"/>
  <c r="P36" s="1"/>
  <c r="R35"/>
  <c r="D35"/>
  <c r="D37" s="1"/>
  <c r="R34"/>
  <c r="D34"/>
  <c r="E34" s="1"/>
  <c r="P34" s="1"/>
  <c r="D33"/>
  <c r="E33" s="1"/>
  <c r="R23"/>
  <c r="E23"/>
  <c r="E21"/>
  <c r="R19"/>
  <c r="E19"/>
  <c r="O19" s="1"/>
  <c r="L17"/>
  <c r="G17"/>
  <c r="D17"/>
  <c r="R16"/>
  <c r="P16"/>
  <c r="M16"/>
  <c r="I16"/>
  <c r="H16"/>
  <c r="R15"/>
  <c r="P15"/>
  <c r="O15"/>
  <c r="O17" s="1"/>
  <c r="N15"/>
  <c r="N17" s="1"/>
  <c r="M15"/>
  <c r="K15"/>
  <c r="K17" s="1"/>
  <c r="J15"/>
  <c r="J17" s="1"/>
  <c r="I15"/>
  <c r="H15"/>
  <c r="F15"/>
  <c r="F17" s="1"/>
  <c r="R13"/>
  <c r="E13"/>
  <c r="O13" s="1"/>
  <c r="K11"/>
  <c r="C11"/>
  <c r="R10"/>
  <c r="R11" s="1"/>
  <c r="D10"/>
  <c r="E10" s="1"/>
  <c r="K8"/>
  <c r="C8"/>
  <c r="R7"/>
  <c r="E7"/>
  <c r="O7" s="1"/>
  <c r="R6"/>
  <c r="E6"/>
  <c r="N6" s="1"/>
  <c r="F89"/>
  <c r="G89"/>
  <c r="H89"/>
  <c r="I89"/>
  <c r="J89"/>
  <c r="J91" s="1"/>
  <c r="M89"/>
  <c r="N89"/>
  <c r="O89"/>
  <c r="P89"/>
  <c r="E90"/>
  <c r="F90" s="1"/>
  <c r="R90"/>
  <c r="C91"/>
  <c r="D91"/>
  <c r="K91"/>
  <c r="D93"/>
  <c r="E93" s="1"/>
  <c r="E94"/>
  <c r="P94" s="1"/>
  <c r="R94"/>
  <c r="D95"/>
  <c r="E95" s="1"/>
  <c r="R95"/>
  <c r="E96"/>
  <c r="F96" s="1"/>
  <c r="R96"/>
  <c r="E97"/>
  <c r="F97" s="1"/>
  <c r="M97"/>
  <c r="R97"/>
  <c r="E98"/>
  <c r="G98" s="1"/>
  <c r="R98"/>
  <c r="C99"/>
  <c r="L99"/>
  <c r="F101"/>
  <c r="G101"/>
  <c r="H101"/>
  <c r="I101"/>
  <c r="J101"/>
  <c r="M101"/>
  <c r="N101"/>
  <c r="O101"/>
  <c r="P101"/>
  <c r="R101"/>
  <c r="E103"/>
  <c r="O103" s="1"/>
  <c r="R103"/>
  <c r="H104"/>
  <c r="H105" s="1"/>
  <c r="I104"/>
  <c r="I105" s="1"/>
  <c r="M104"/>
  <c r="M105" s="1"/>
  <c r="P104"/>
  <c r="P105" s="1"/>
  <c r="R104"/>
  <c r="C105"/>
  <c r="D105"/>
  <c r="F105"/>
  <c r="G105"/>
  <c r="J105"/>
  <c r="K105"/>
  <c r="L105"/>
  <c r="N105"/>
  <c r="O105"/>
  <c r="K198" l="1"/>
  <c r="F338"/>
  <c r="G218"/>
  <c r="O21"/>
  <c r="J21"/>
  <c r="F21"/>
  <c r="P21"/>
  <c r="K21"/>
  <c r="G21"/>
  <c r="M21"/>
  <c r="H21"/>
  <c r="N21"/>
  <c r="I21"/>
  <c r="O77"/>
  <c r="I345"/>
  <c r="M345"/>
  <c r="P345"/>
  <c r="P249"/>
  <c r="H249"/>
  <c r="H345"/>
  <c r="R345"/>
  <c r="G233"/>
  <c r="R339"/>
  <c r="G186"/>
  <c r="R335"/>
  <c r="M338"/>
  <c r="R235"/>
  <c r="P186"/>
  <c r="R200"/>
  <c r="G249"/>
  <c r="I334"/>
  <c r="H338"/>
  <c r="P338"/>
  <c r="J334"/>
  <c r="L338"/>
  <c r="L339" s="1"/>
  <c r="D67"/>
  <c r="O233"/>
  <c r="H186"/>
  <c r="P198"/>
  <c r="G338"/>
  <c r="N338"/>
  <c r="M333"/>
  <c r="M335" s="1"/>
  <c r="I333"/>
  <c r="O333"/>
  <c r="O335" s="1"/>
  <c r="L333"/>
  <c r="L335" s="1"/>
  <c r="G333"/>
  <c r="G335" s="1"/>
  <c r="N333"/>
  <c r="N335" s="1"/>
  <c r="J333"/>
  <c r="K333"/>
  <c r="K335" s="1"/>
  <c r="F333"/>
  <c r="F335" s="1"/>
  <c r="P333"/>
  <c r="P335" s="1"/>
  <c r="E337"/>
  <c r="I338"/>
  <c r="F186"/>
  <c r="N186"/>
  <c r="F198"/>
  <c r="H202"/>
  <c r="F249"/>
  <c r="N249"/>
  <c r="G250"/>
  <c r="O202"/>
  <c r="K202"/>
  <c r="M186"/>
  <c r="G192"/>
  <c r="G202"/>
  <c r="P202"/>
  <c r="M249"/>
  <c r="P253"/>
  <c r="P254" s="1"/>
  <c r="F253"/>
  <c r="F254" s="1"/>
  <c r="J253"/>
  <c r="J254" s="1"/>
  <c r="O253"/>
  <c r="O254" s="1"/>
  <c r="P191"/>
  <c r="J191"/>
  <c r="F191"/>
  <c r="O191"/>
  <c r="J198"/>
  <c r="N250"/>
  <c r="D187"/>
  <c r="L186"/>
  <c r="L187" s="1"/>
  <c r="H198"/>
  <c r="N198"/>
  <c r="L202"/>
  <c r="J249"/>
  <c r="J251" s="1"/>
  <c r="R251"/>
  <c r="R268" s="1"/>
  <c r="M250"/>
  <c r="O198"/>
  <c r="D254"/>
  <c r="E254" s="1"/>
  <c r="D223"/>
  <c r="F221"/>
  <c r="R187"/>
  <c r="R194"/>
  <c r="G198"/>
  <c r="L198"/>
  <c r="H250"/>
  <c r="O251"/>
  <c r="I253"/>
  <c r="I254" s="1"/>
  <c r="N253"/>
  <c r="N254" s="1"/>
  <c r="I249"/>
  <c r="F250"/>
  <c r="L250"/>
  <c r="L251" s="1"/>
  <c r="P250"/>
  <c r="H253"/>
  <c r="H254" s="1"/>
  <c r="M253"/>
  <c r="M254" s="1"/>
  <c r="I250"/>
  <c r="G253"/>
  <c r="G254" s="1"/>
  <c r="L253"/>
  <c r="L254" s="1"/>
  <c r="M185"/>
  <c r="H185"/>
  <c r="J185"/>
  <c r="K185"/>
  <c r="N185"/>
  <c r="I185"/>
  <c r="O185"/>
  <c r="F185"/>
  <c r="P185"/>
  <c r="G185"/>
  <c r="N189"/>
  <c r="I189"/>
  <c r="H189"/>
  <c r="O189"/>
  <c r="J189"/>
  <c r="F189"/>
  <c r="E194"/>
  <c r="P189"/>
  <c r="K189"/>
  <c r="G189"/>
  <c r="M189"/>
  <c r="N184"/>
  <c r="I184"/>
  <c r="P184"/>
  <c r="F184"/>
  <c r="H184"/>
  <c r="O184"/>
  <c r="J184"/>
  <c r="E187"/>
  <c r="K184"/>
  <c r="M184"/>
  <c r="M190"/>
  <c r="H190"/>
  <c r="K190"/>
  <c r="N190"/>
  <c r="I190"/>
  <c r="O190"/>
  <c r="J190"/>
  <c r="F190"/>
  <c r="P190"/>
  <c r="G190"/>
  <c r="I191"/>
  <c r="N191"/>
  <c r="J193"/>
  <c r="I186"/>
  <c r="H191"/>
  <c r="M191"/>
  <c r="J192"/>
  <c r="I193"/>
  <c r="D194"/>
  <c r="I198"/>
  <c r="F202"/>
  <c r="J202"/>
  <c r="N202"/>
  <c r="G191"/>
  <c r="K191"/>
  <c r="I202"/>
  <c r="J135"/>
  <c r="I135"/>
  <c r="E35"/>
  <c r="I35" s="1"/>
  <c r="R124"/>
  <c r="P219"/>
  <c r="J222"/>
  <c r="K139"/>
  <c r="E216"/>
  <c r="O216" s="1"/>
  <c r="P218"/>
  <c r="J219"/>
  <c r="P221"/>
  <c r="I222"/>
  <c r="F66"/>
  <c r="J218"/>
  <c r="G219"/>
  <c r="R229"/>
  <c r="M220"/>
  <c r="P220"/>
  <c r="K220"/>
  <c r="F220"/>
  <c r="P227"/>
  <c r="F227"/>
  <c r="J227"/>
  <c r="O227"/>
  <c r="I122"/>
  <c r="F122"/>
  <c r="H122"/>
  <c r="O122"/>
  <c r="M122"/>
  <c r="M231"/>
  <c r="J231"/>
  <c r="L233"/>
  <c r="O135"/>
  <c r="R223"/>
  <c r="F218"/>
  <c r="O218"/>
  <c r="F219"/>
  <c r="O219"/>
  <c r="K221"/>
  <c r="J226"/>
  <c r="G231"/>
  <c r="K233"/>
  <c r="D124"/>
  <c r="K218"/>
  <c r="K219"/>
  <c r="H221"/>
  <c r="I226"/>
  <c r="F231"/>
  <c r="P231"/>
  <c r="H233"/>
  <c r="P233"/>
  <c r="M217"/>
  <c r="H217"/>
  <c r="J217"/>
  <c r="P217"/>
  <c r="K217"/>
  <c r="G217"/>
  <c r="N217"/>
  <c r="I217"/>
  <c r="O217"/>
  <c r="F217"/>
  <c r="E229"/>
  <c r="N225"/>
  <c r="I225"/>
  <c r="P225"/>
  <c r="M225"/>
  <c r="O225"/>
  <c r="J225"/>
  <c r="F225"/>
  <c r="K225"/>
  <c r="G225"/>
  <c r="H225"/>
  <c r="I227"/>
  <c r="I218"/>
  <c r="N218"/>
  <c r="I219"/>
  <c r="N219"/>
  <c r="I220"/>
  <c r="N220"/>
  <c r="J221"/>
  <c r="O221"/>
  <c r="H227"/>
  <c r="M227"/>
  <c r="I231"/>
  <c r="O231"/>
  <c r="F233"/>
  <c r="J233"/>
  <c r="N233"/>
  <c r="D229"/>
  <c r="J220"/>
  <c r="O220"/>
  <c r="N227"/>
  <c r="H218"/>
  <c r="H219"/>
  <c r="H220"/>
  <c r="I221"/>
  <c r="G227"/>
  <c r="K227"/>
  <c r="H231"/>
  <c r="I233"/>
  <c r="M139"/>
  <c r="F139"/>
  <c r="R131"/>
  <c r="O139"/>
  <c r="G139"/>
  <c r="N135"/>
  <c r="K122"/>
  <c r="P66"/>
  <c r="J139"/>
  <c r="H127"/>
  <c r="G127"/>
  <c r="N127"/>
  <c r="F127"/>
  <c r="K127"/>
  <c r="J127"/>
  <c r="P127"/>
  <c r="I127"/>
  <c r="O127"/>
  <c r="M65"/>
  <c r="O65"/>
  <c r="F65"/>
  <c r="E67"/>
  <c r="N128"/>
  <c r="I17"/>
  <c r="N139"/>
  <c r="I139"/>
  <c r="R137"/>
  <c r="K135"/>
  <c r="F135"/>
  <c r="J130"/>
  <c r="D131"/>
  <c r="P122"/>
  <c r="J122"/>
  <c r="F40"/>
  <c r="R67"/>
  <c r="R81" s="1"/>
  <c r="M135"/>
  <c r="G135"/>
  <c r="N119"/>
  <c r="I119"/>
  <c r="G129"/>
  <c r="O128"/>
  <c r="J128"/>
  <c r="F128"/>
  <c r="G120"/>
  <c r="O119"/>
  <c r="J119"/>
  <c r="F119"/>
  <c r="P139"/>
  <c r="L139"/>
  <c r="P135"/>
  <c r="L135"/>
  <c r="G130"/>
  <c r="I129"/>
  <c r="P128"/>
  <c r="K128"/>
  <c r="G128"/>
  <c r="M127"/>
  <c r="E126"/>
  <c r="N122"/>
  <c r="E121"/>
  <c r="I120"/>
  <c r="P119"/>
  <c r="K119"/>
  <c r="G119"/>
  <c r="I128"/>
  <c r="M128"/>
  <c r="M119"/>
  <c r="O96"/>
  <c r="J54"/>
  <c r="J65"/>
  <c r="J67" s="1"/>
  <c r="L66"/>
  <c r="L67" s="1"/>
  <c r="K65"/>
  <c r="K67" s="1"/>
  <c r="M66"/>
  <c r="F39"/>
  <c r="G54"/>
  <c r="G65"/>
  <c r="P65"/>
  <c r="G66"/>
  <c r="N69"/>
  <c r="N70" s="1"/>
  <c r="I69"/>
  <c r="I70" s="1"/>
  <c r="O69"/>
  <c r="O70" s="1"/>
  <c r="J69"/>
  <c r="J70" s="1"/>
  <c r="F69"/>
  <c r="F70" s="1"/>
  <c r="P69"/>
  <c r="P70" s="1"/>
  <c r="L69"/>
  <c r="L70" s="1"/>
  <c r="G69"/>
  <c r="G70" s="1"/>
  <c r="M69"/>
  <c r="M70" s="1"/>
  <c r="H69"/>
  <c r="H70" s="1"/>
  <c r="I65"/>
  <c r="N65"/>
  <c r="N67" s="1"/>
  <c r="I66"/>
  <c r="O66"/>
  <c r="D70"/>
  <c r="E70" s="1"/>
  <c r="H65"/>
  <c r="H66"/>
  <c r="O97"/>
  <c r="R105"/>
  <c r="I97"/>
  <c r="N90"/>
  <c r="N91" s="1"/>
  <c r="F13"/>
  <c r="F54"/>
  <c r="I90"/>
  <c r="I91" s="1"/>
  <c r="J97"/>
  <c r="O90"/>
  <c r="O91" s="1"/>
  <c r="K39"/>
  <c r="P54"/>
  <c r="M45"/>
  <c r="F45"/>
  <c r="O45"/>
  <c r="O46" s="1"/>
  <c r="N13"/>
  <c r="M13"/>
  <c r="R17"/>
  <c r="O41"/>
  <c r="N97"/>
  <c r="H97"/>
  <c r="H90"/>
  <c r="H91" s="1"/>
  <c r="G13"/>
  <c r="P40"/>
  <c r="F41"/>
  <c r="O54"/>
  <c r="I10"/>
  <c r="I11" s="1"/>
  <c r="L10"/>
  <c r="L11" s="1"/>
  <c r="E11"/>
  <c r="O10"/>
  <c r="O11" s="1"/>
  <c r="F10"/>
  <c r="F11" s="1"/>
  <c r="P10"/>
  <c r="P11" s="1"/>
  <c r="G10"/>
  <c r="G11" s="1"/>
  <c r="J10"/>
  <c r="J11" s="1"/>
  <c r="R99"/>
  <c r="J6"/>
  <c r="J8" s="1"/>
  <c r="I6"/>
  <c r="H7"/>
  <c r="P7"/>
  <c r="P17"/>
  <c r="K41"/>
  <c r="O42"/>
  <c r="K45"/>
  <c r="D99"/>
  <c r="I98"/>
  <c r="I94"/>
  <c r="R91"/>
  <c r="G6"/>
  <c r="P6"/>
  <c r="G7"/>
  <c r="N7"/>
  <c r="N8" s="1"/>
  <c r="D11"/>
  <c r="J13"/>
  <c r="R37"/>
  <c r="K40"/>
  <c r="J41"/>
  <c r="J42"/>
  <c r="J45"/>
  <c r="L7"/>
  <c r="L8" s="1"/>
  <c r="R8"/>
  <c r="M17"/>
  <c r="M103"/>
  <c r="J98"/>
  <c r="P97"/>
  <c r="K97"/>
  <c r="N94"/>
  <c r="F91"/>
  <c r="F6"/>
  <c r="M6"/>
  <c r="F7"/>
  <c r="M7"/>
  <c r="H13"/>
  <c r="P13"/>
  <c r="H17"/>
  <c r="P39"/>
  <c r="H40"/>
  <c r="R46"/>
  <c r="G41"/>
  <c r="P41"/>
  <c r="F42"/>
  <c r="D46"/>
  <c r="G45"/>
  <c r="P45"/>
  <c r="K54"/>
  <c r="P33"/>
  <c r="J33"/>
  <c r="M33"/>
  <c r="F33"/>
  <c r="N33"/>
  <c r="G33"/>
  <c r="O33"/>
  <c r="I33"/>
  <c r="J34"/>
  <c r="O34"/>
  <c r="I36"/>
  <c r="O36"/>
  <c r="I43"/>
  <c r="N43"/>
  <c r="I34"/>
  <c r="N34"/>
  <c r="H36"/>
  <c r="N36"/>
  <c r="J39"/>
  <c r="O39"/>
  <c r="I42"/>
  <c r="N42"/>
  <c r="H43"/>
  <c r="M43"/>
  <c r="J44"/>
  <c r="H34"/>
  <c r="M34"/>
  <c r="G36"/>
  <c r="M36"/>
  <c r="I39"/>
  <c r="N39"/>
  <c r="J40"/>
  <c r="O40"/>
  <c r="I41"/>
  <c r="N41"/>
  <c r="H42"/>
  <c r="M42"/>
  <c r="G43"/>
  <c r="K43"/>
  <c r="P43"/>
  <c r="I44"/>
  <c r="I45"/>
  <c r="N45"/>
  <c r="I54"/>
  <c r="N54"/>
  <c r="F34"/>
  <c r="K34"/>
  <c r="F36"/>
  <c r="L36"/>
  <c r="L37" s="1"/>
  <c r="H39"/>
  <c r="I40"/>
  <c r="H41"/>
  <c r="G42"/>
  <c r="K42"/>
  <c r="F43"/>
  <c r="J43"/>
  <c r="H45"/>
  <c r="H54"/>
  <c r="I19"/>
  <c r="M19"/>
  <c r="H19"/>
  <c r="L19"/>
  <c r="P19"/>
  <c r="O6"/>
  <c r="O8" s="1"/>
  <c r="N10"/>
  <c r="N11" s="1"/>
  <c r="H6"/>
  <c r="I7"/>
  <c r="H10"/>
  <c r="H11" s="1"/>
  <c r="M10"/>
  <c r="M11" s="1"/>
  <c r="I13"/>
  <c r="F19"/>
  <c r="J19"/>
  <c r="N19"/>
  <c r="G19"/>
  <c r="K19"/>
  <c r="G93"/>
  <c r="M93"/>
  <c r="J93"/>
  <c r="P93"/>
  <c r="I93"/>
  <c r="O93"/>
  <c r="N93"/>
  <c r="E99"/>
  <c r="F93"/>
  <c r="N95"/>
  <c r="H95"/>
  <c r="M95"/>
  <c r="F95"/>
  <c r="K95"/>
  <c r="P95"/>
  <c r="J95"/>
  <c r="O95"/>
  <c r="I95"/>
  <c r="I103"/>
  <c r="N103"/>
  <c r="F103"/>
  <c r="J96"/>
  <c r="O94"/>
  <c r="J94"/>
  <c r="K103"/>
  <c r="G103"/>
  <c r="M96"/>
  <c r="G96"/>
  <c r="K94"/>
  <c r="F94"/>
  <c r="L90"/>
  <c r="L91" s="1"/>
  <c r="P103"/>
  <c r="L103"/>
  <c r="H103"/>
  <c r="N96"/>
  <c r="H96"/>
  <c r="M94"/>
  <c r="H94"/>
  <c r="M90"/>
  <c r="M91" s="1"/>
  <c r="G90"/>
  <c r="G91" s="1"/>
  <c r="I96"/>
  <c r="J103"/>
  <c r="P96"/>
  <c r="P90"/>
  <c r="P91" s="1"/>
  <c r="E315"/>
  <c r="D306"/>
  <c r="R58" l="1"/>
  <c r="R145"/>
  <c r="R351"/>
  <c r="R241"/>
  <c r="R208"/>
  <c r="R25"/>
  <c r="H251"/>
  <c r="J187"/>
  <c r="G187"/>
  <c r="P251"/>
  <c r="M251"/>
  <c r="G35"/>
  <c r="G37" s="1"/>
  <c r="M35"/>
  <c r="M37" s="1"/>
  <c r="J216"/>
  <c r="J223" s="1"/>
  <c r="I335"/>
  <c r="G251"/>
  <c r="J35"/>
  <c r="J37" s="1"/>
  <c r="N35"/>
  <c r="N37" s="1"/>
  <c r="N251"/>
  <c r="J335"/>
  <c r="E37"/>
  <c r="M337"/>
  <c r="M339" s="1"/>
  <c r="H337"/>
  <c r="H339" s="1"/>
  <c r="K337"/>
  <c r="K339" s="1"/>
  <c r="N337"/>
  <c r="N339" s="1"/>
  <c r="I337"/>
  <c r="I339" s="1"/>
  <c r="E339"/>
  <c r="O337"/>
  <c r="O339" s="1"/>
  <c r="J337"/>
  <c r="J339" s="1"/>
  <c r="F337"/>
  <c r="F339" s="1"/>
  <c r="P337"/>
  <c r="P339" s="1"/>
  <c r="G337"/>
  <c r="G339" s="1"/>
  <c r="F187"/>
  <c r="I251"/>
  <c r="H187"/>
  <c r="F251"/>
  <c r="M216"/>
  <c r="M223" s="1"/>
  <c r="H194"/>
  <c r="P35"/>
  <c r="P37" s="1"/>
  <c r="I216"/>
  <c r="I223" s="1"/>
  <c r="M187"/>
  <c r="O187"/>
  <c r="O35"/>
  <c r="O37" s="1"/>
  <c r="K35"/>
  <c r="K37" s="1"/>
  <c r="F35"/>
  <c r="F37" s="1"/>
  <c r="H35"/>
  <c r="H37" s="1"/>
  <c r="P187"/>
  <c r="M194"/>
  <c r="P194"/>
  <c r="O194"/>
  <c r="K187"/>
  <c r="N187"/>
  <c r="K194"/>
  <c r="J194"/>
  <c r="N194"/>
  <c r="I187"/>
  <c r="G194"/>
  <c r="F194"/>
  <c r="I194"/>
  <c r="G216"/>
  <c r="G223" s="1"/>
  <c r="P216"/>
  <c r="P223" s="1"/>
  <c r="N216"/>
  <c r="N223" s="1"/>
  <c r="F216"/>
  <c r="F223" s="1"/>
  <c r="F67"/>
  <c r="O229"/>
  <c r="G229"/>
  <c r="P67"/>
  <c r="H229"/>
  <c r="J229"/>
  <c r="I229"/>
  <c r="K223"/>
  <c r="H67"/>
  <c r="F229"/>
  <c r="P229"/>
  <c r="O223"/>
  <c r="H223"/>
  <c r="K229"/>
  <c r="M229"/>
  <c r="N229"/>
  <c r="H8"/>
  <c r="M67"/>
  <c r="F46"/>
  <c r="K46"/>
  <c r="O67"/>
  <c r="G67"/>
  <c r="F126"/>
  <c r="F131" s="1"/>
  <c r="J126"/>
  <c r="J131" s="1"/>
  <c r="O126"/>
  <c r="O131" s="1"/>
  <c r="P126"/>
  <c r="P131" s="1"/>
  <c r="I126"/>
  <c r="I131" s="1"/>
  <c r="N126"/>
  <c r="N131" s="1"/>
  <c r="H126"/>
  <c r="H131" s="1"/>
  <c r="M126"/>
  <c r="M131" s="1"/>
  <c r="G126"/>
  <c r="G131" s="1"/>
  <c r="K126"/>
  <c r="K131" s="1"/>
  <c r="E131"/>
  <c r="F121"/>
  <c r="F124" s="1"/>
  <c r="J121"/>
  <c r="J124" s="1"/>
  <c r="O121"/>
  <c r="O124" s="1"/>
  <c r="I121"/>
  <c r="I124" s="1"/>
  <c r="N121"/>
  <c r="N124" s="1"/>
  <c r="H121"/>
  <c r="H124" s="1"/>
  <c r="M121"/>
  <c r="M124" s="1"/>
  <c r="G121"/>
  <c r="G124" s="1"/>
  <c r="K121"/>
  <c r="K124" s="1"/>
  <c r="P121"/>
  <c r="P124" s="1"/>
  <c r="E124"/>
  <c r="G46"/>
  <c r="I67"/>
  <c r="P8"/>
  <c r="I8"/>
  <c r="M8"/>
  <c r="P46"/>
  <c r="M46"/>
  <c r="I46"/>
  <c r="I37"/>
  <c r="O99"/>
  <c r="M99"/>
  <c r="N46"/>
  <c r="F8"/>
  <c r="G8"/>
  <c r="J46"/>
  <c r="H46"/>
  <c r="K99"/>
  <c r="N99"/>
  <c r="J99"/>
  <c r="F99"/>
  <c r="I99"/>
  <c r="G99"/>
  <c r="H99"/>
  <c r="P99"/>
  <c r="E306"/>
  <c r="R301"/>
  <c r="E301"/>
  <c r="I301" s="1"/>
  <c r="L304"/>
  <c r="C304"/>
  <c r="R303"/>
  <c r="E303"/>
  <c r="J303" s="1"/>
  <c r="D302"/>
  <c r="E302" s="1"/>
  <c r="M302" s="1"/>
  <c r="R300"/>
  <c r="D300"/>
  <c r="E300" s="1"/>
  <c r="R304" l="1"/>
  <c r="J301"/>
  <c r="G301"/>
  <c r="P306"/>
  <c r="J306"/>
  <c r="O306"/>
  <c r="I306"/>
  <c r="N306"/>
  <c r="G306"/>
  <c r="F306"/>
  <c r="M306"/>
  <c r="E304"/>
  <c r="N300"/>
  <c r="I300"/>
  <c r="M300"/>
  <c r="M304" s="1"/>
  <c r="H300"/>
  <c r="P300"/>
  <c r="K300"/>
  <c r="G300"/>
  <c r="O300"/>
  <c r="J300"/>
  <c r="F300"/>
  <c r="I302"/>
  <c r="N302"/>
  <c r="F302"/>
  <c r="J302"/>
  <c r="O302"/>
  <c r="G303"/>
  <c r="G302"/>
  <c r="K302"/>
  <c r="P302"/>
  <c r="I303"/>
  <c r="D304"/>
  <c r="H302"/>
  <c r="R311"/>
  <c r="M311"/>
  <c r="E311"/>
  <c r="P311" s="1"/>
  <c r="O304" l="1"/>
  <c r="P304"/>
  <c r="N304"/>
  <c r="J304"/>
  <c r="H304"/>
  <c r="G304"/>
  <c r="F304"/>
  <c r="K304"/>
  <c r="I304"/>
  <c r="H311"/>
  <c r="N311"/>
  <c r="I311"/>
  <c r="J311"/>
  <c r="O311"/>
  <c r="F311"/>
  <c r="K311"/>
  <c r="R317" l="1"/>
  <c r="R310"/>
  <c r="E310" l="1"/>
  <c r="R307" l="1"/>
  <c r="C313" l="1"/>
  <c r="R308"/>
  <c r="R309"/>
  <c r="R312"/>
  <c r="R315"/>
  <c r="R318"/>
  <c r="R323"/>
  <c r="P310"/>
  <c r="O310"/>
  <c r="N310"/>
  <c r="M310"/>
  <c r="L310"/>
  <c r="L313" s="1"/>
  <c r="I310"/>
  <c r="H310"/>
  <c r="G310"/>
  <c r="F310"/>
  <c r="D309"/>
  <c r="E309" s="1"/>
  <c r="P309" s="1"/>
  <c r="D308"/>
  <c r="E308" s="1"/>
  <c r="E312"/>
  <c r="M312" s="1"/>
  <c r="D307"/>
  <c r="E307" s="1"/>
  <c r="E323"/>
  <c r="R109"/>
  <c r="R111" s="1"/>
  <c r="E109"/>
  <c r="P315"/>
  <c r="O315"/>
  <c r="N315"/>
  <c r="M315"/>
  <c r="J315"/>
  <c r="I315"/>
  <c r="H315"/>
  <c r="G315"/>
  <c r="F315"/>
  <c r="P317"/>
  <c r="P318"/>
  <c r="O317"/>
  <c r="O319" s="1"/>
  <c r="N317"/>
  <c r="N319" s="1"/>
  <c r="M317"/>
  <c r="M318"/>
  <c r="L319"/>
  <c r="K317"/>
  <c r="K319" s="1"/>
  <c r="J317"/>
  <c r="J319" s="1"/>
  <c r="I317"/>
  <c r="I318"/>
  <c r="H317"/>
  <c r="H318"/>
  <c r="G319"/>
  <c r="F317"/>
  <c r="F319" s="1"/>
  <c r="D319"/>
  <c r="C319"/>
  <c r="Y20" i="2"/>
  <c r="Y22" s="1"/>
  <c r="X19"/>
  <c r="X20" s="1"/>
  <c r="X22" s="1"/>
  <c r="W19"/>
  <c r="W20"/>
  <c r="W22" s="1"/>
  <c r="V19"/>
  <c r="V20" s="1"/>
  <c r="V22" s="1"/>
  <c r="U19"/>
  <c r="U20"/>
  <c r="U22" s="1"/>
  <c r="T19"/>
  <c r="T20" s="1"/>
  <c r="T22" s="1"/>
  <c r="S19"/>
  <c r="S20"/>
  <c r="S22" s="1"/>
  <c r="R19"/>
  <c r="R20" s="1"/>
  <c r="R22" s="1"/>
  <c r="Q19"/>
  <c r="Q20"/>
  <c r="Q22" s="1"/>
  <c r="P19"/>
  <c r="P20" s="1"/>
  <c r="P22" s="1"/>
  <c r="O19"/>
  <c r="O20"/>
  <c r="O22" s="1"/>
  <c r="N19"/>
  <c r="N20" s="1"/>
  <c r="N22" s="1"/>
  <c r="M19"/>
  <c r="M20"/>
  <c r="M22" s="1"/>
  <c r="L19"/>
  <c r="L20" s="1"/>
  <c r="L22" s="1"/>
  <c r="K19"/>
  <c r="K20"/>
  <c r="K22" s="1"/>
  <c r="J19"/>
  <c r="J20" s="1"/>
  <c r="J22" s="1"/>
  <c r="I19"/>
  <c r="I20"/>
  <c r="I22" s="1"/>
  <c r="H19"/>
  <c r="H20" s="1"/>
  <c r="H22" s="1"/>
  <c r="G19"/>
  <c r="G20"/>
  <c r="G22" s="1"/>
  <c r="F19"/>
  <c r="F20" s="1"/>
  <c r="F22" s="1"/>
  <c r="E19"/>
  <c r="E20"/>
  <c r="E22" s="1"/>
  <c r="D19"/>
  <c r="D20" s="1"/>
  <c r="D22" s="1"/>
  <c r="C19"/>
  <c r="C20"/>
  <c r="C22" s="1"/>
  <c r="B19"/>
  <c r="B20"/>
  <c r="B22" s="1"/>
  <c r="W23" l="1"/>
  <c r="R313" i="1"/>
  <c r="F312"/>
  <c r="M319"/>
  <c r="J312"/>
  <c r="I312"/>
  <c r="H312"/>
  <c r="J309"/>
  <c r="G312"/>
  <c r="I319"/>
  <c r="H319"/>
  <c r="R319"/>
  <c r="D313"/>
  <c r="N309"/>
  <c r="P319"/>
  <c r="I309"/>
  <c r="O309"/>
  <c r="F307"/>
  <c r="G307"/>
  <c r="H307"/>
  <c r="I307"/>
  <c r="J307"/>
  <c r="K307"/>
  <c r="M307"/>
  <c r="N307"/>
  <c r="O307"/>
  <c r="P307"/>
  <c r="N308"/>
  <c r="O308"/>
  <c r="P308"/>
  <c r="M308"/>
  <c r="F308"/>
  <c r="G308"/>
  <c r="H308"/>
  <c r="I308"/>
  <c r="J308"/>
  <c r="K308"/>
  <c r="P312"/>
  <c r="O312"/>
  <c r="N312"/>
  <c r="H309"/>
  <c r="M309"/>
  <c r="K309"/>
  <c r="F309"/>
  <c r="R325" l="1"/>
  <c r="G313"/>
  <c r="P313"/>
  <c r="M313"/>
  <c r="H313"/>
  <c r="I313"/>
  <c r="N313"/>
  <c r="O313"/>
  <c r="J313"/>
  <c r="F313"/>
  <c r="K313"/>
</calcChain>
</file>

<file path=xl/sharedStrings.xml><?xml version="1.0" encoding="utf-8"?>
<sst xmlns="http://schemas.openxmlformats.org/spreadsheetml/2006/main" count="763" uniqueCount="154">
  <si>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</si>
  <si>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</si>
  <si>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</si>
  <si>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</si>
  <si>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</si>
  <si>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</si>
  <si>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</si>
  <si>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</si>
  <si>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</si>
  <si>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</si>
  <si>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</si>
  <si>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</si>
  <si>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</si>
  <si>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</si>
  <si>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морковь</t>
  </si>
  <si>
    <t>капуста</t>
  </si>
  <si>
    <t>растит. масло</t>
  </si>
  <si>
    <t>всего грамм</t>
  </si>
  <si>
    <t>нетто</t>
  </si>
  <si>
    <t>отх</t>
  </si>
  <si>
    <t>крупа гречневая</t>
  </si>
  <si>
    <t>масло сливочное</t>
  </si>
  <si>
    <t>мясо говядина</t>
  </si>
  <si>
    <t>рис</t>
  </si>
  <si>
    <t>масло растительное</t>
  </si>
  <si>
    <t>томат</t>
  </si>
  <si>
    <t>количество детей</t>
  </si>
  <si>
    <t>2день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</si>
  <si>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</si>
  <si>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</si>
  <si>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</si>
  <si>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</si>
  <si>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</si>
  <si>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</si>
  <si>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</si>
  <si>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</si>
  <si>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</si>
  <si>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</si>
  <si>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</si>
  <si>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</si>
  <si>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</si>
  <si>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</si>
  <si>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</si>
  <si>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</si>
  <si>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</si>
  <si>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</si>
  <si>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</si>
  <si>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</si>
  <si>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</si>
  <si>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</si>
  <si>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</si>
  <si>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</si>
  <si>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</si>
  <si>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</si>
  <si>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</si>
  <si>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</si>
  <si>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</si>
  <si>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</si>
  <si>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</si>
  <si>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</si>
  <si>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</si>
  <si>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</si>
  <si>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</si>
  <si>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</si>
  <si>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</si>
  <si>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</si>
  <si>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сухофрукты</t>
  </si>
  <si>
    <t>сахар</t>
  </si>
  <si>
    <t>итого</t>
  </si>
  <si>
    <t>свекла</t>
  </si>
  <si>
    <t>картофель</t>
  </si>
  <si>
    <t>лук</t>
  </si>
  <si>
    <t xml:space="preserve">курица </t>
  </si>
  <si>
    <t>соль</t>
  </si>
  <si>
    <t>зел.горох</t>
  </si>
  <si>
    <t>горох лущенный</t>
  </si>
  <si>
    <t>макароны</t>
  </si>
  <si>
    <t>мука</t>
  </si>
  <si>
    <t xml:space="preserve">рыба </t>
  </si>
  <si>
    <t>молоко</t>
  </si>
  <si>
    <t>какао</t>
  </si>
  <si>
    <t xml:space="preserve"> </t>
  </si>
  <si>
    <t xml:space="preserve">рис </t>
  </si>
  <si>
    <t xml:space="preserve">1.салат из овощей </t>
  </si>
  <si>
    <t xml:space="preserve"> всего грамм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</si>
  <si>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</si>
  <si>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</si>
  <si>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</si>
  <si>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</si>
  <si>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6.бананы</t>
  </si>
  <si>
    <t>7.соль</t>
  </si>
  <si>
    <t>1.картофельное пюре</t>
  </si>
  <si>
    <t>3.хлеб</t>
  </si>
  <si>
    <t>4.чай</t>
  </si>
  <si>
    <t>6.соль</t>
  </si>
  <si>
    <t>2.курица в духовке</t>
  </si>
  <si>
    <t>6.яблоки</t>
  </si>
  <si>
    <t>4.компот</t>
  </si>
  <si>
    <t>5.печенье</t>
  </si>
  <si>
    <t>4.яйцо</t>
  </si>
  <si>
    <t>5.яблоки</t>
  </si>
  <si>
    <t xml:space="preserve">сумма </t>
  </si>
  <si>
    <t>сумма</t>
  </si>
  <si>
    <t>по РД " Кайтагском районе"</t>
  </si>
  <si>
    <t>1.макароны отварные</t>
  </si>
  <si>
    <t>3.Хлеб</t>
  </si>
  <si>
    <t xml:space="preserve">2.суп картофельный с горохом,говядиной </t>
  </si>
  <si>
    <t>5.бананы</t>
  </si>
  <si>
    <t>1.суп с картофелем,мясными фрикадельками</t>
  </si>
  <si>
    <t>мясо говядины</t>
  </si>
  <si>
    <t xml:space="preserve">1.плов рисовый из отварного куриного мяса </t>
  </si>
  <si>
    <t>1.рыба запеченная</t>
  </si>
  <si>
    <t>2.картофельное пюре</t>
  </si>
  <si>
    <t>1.запеканка картофельная с куриным филе</t>
  </si>
  <si>
    <t>2.салат овощной</t>
  </si>
  <si>
    <t>1.жаркое по-домашнему</t>
  </si>
  <si>
    <t>2.борщ с капустой на мясном бульоне</t>
  </si>
  <si>
    <t>1.каша гречневая</t>
  </si>
  <si>
    <t xml:space="preserve">     2.какао с молоком</t>
  </si>
  <si>
    <t xml:space="preserve">1.каша рисовая молочная </t>
  </si>
  <si>
    <t>2.салат из овощей</t>
  </si>
  <si>
    <t>2.гуляш из говядины</t>
  </si>
  <si>
    <t>6.виноград</t>
  </si>
  <si>
    <t xml:space="preserve">5.слива </t>
  </si>
  <si>
    <t xml:space="preserve">6.слива </t>
  </si>
  <si>
    <t>5.виноград</t>
  </si>
  <si>
    <t>6.Соль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</si>
  <si>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</si>
  <si>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</si>
  <si>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</si>
  <si>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</si>
  <si>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 xml:space="preserve"> меню для школьников за  11.11.2021 год</t>
  </si>
  <si>
    <t>меню для школьников за  13.11.2021 год</t>
  </si>
  <si>
    <t>меню для школьников за  15.11.2021 год</t>
  </si>
  <si>
    <t>меню для школьников за  16.11.2021 год</t>
  </si>
  <si>
    <t>меню для школьников за  17.11.2021 год</t>
  </si>
  <si>
    <t>меню для школьников за  18.11.2021 год</t>
  </si>
  <si>
    <t>меню для школьников за  19.11.2021 год</t>
  </si>
  <si>
    <t>меню для школьников за  20.11.2021 год</t>
  </si>
  <si>
    <t>меню для школьников за  22.11.2021 год</t>
  </si>
  <si>
    <t>меню для школьников за  23.11.2021 год</t>
  </si>
  <si>
    <t>меню для школьников за  24.11.2021 год</t>
  </si>
  <si>
    <t>меню для школьников за 26.11.2021 год</t>
  </si>
  <si>
    <t>меню для школьников за 30.11.2021 год</t>
  </si>
  <si>
    <t>меню для школьников за  25.11.2021 год</t>
  </si>
  <si>
    <t>меню для школьников за 27.11.2021 год</t>
  </si>
  <si>
    <t>меню для школьников за  29.11.2021 год</t>
  </si>
  <si>
    <r>
      <rPr>
        <sz val="14"/>
        <color indexed="8"/>
        <rFont val="Calibri"/>
        <family val="2"/>
        <charset val="204"/>
      </rPr>
      <t xml:space="preserve"> </t>
    </r>
    <r>
      <rPr>
        <b/>
        <sz val="16"/>
        <color indexed="8"/>
        <rFont val="Calibri"/>
        <family val="2"/>
        <charset val="204"/>
      </rPr>
      <t>меню для школьников за  12.11.2021 год</t>
    </r>
  </si>
  <si>
    <t>6.яблоко</t>
  </si>
  <si>
    <t>4.кефир</t>
  </si>
  <si>
    <t>5.яблоко</t>
  </si>
  <si>
    <t xml:space="preserve">                                                                            4.кефир</t>
  </si>
  <si>
    <t>4.сок натуральный</t>
  </si>
  <si>
    <t xml:space="preserve">5.яблоко </t>
  </si>
</sst>
</file>

<file path=xl/styles.xml><?xml version="1.0" encoding="utf-8"?>
<styleSheet xmlns="http://schemas.openxmlformats.org/spreadsheetml/2006/main">
  <numFmts count="1">
    <numFmt numFmtId="164" formatCode="0.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Calibri"/>
      <family val="2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</font>
    <font>
      <b/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6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0">
    <xf numFmtId="0" fontId="0" fillId="0" borderId="0" xfId="0"/>
    <xf numFmtId="0" fontId="10" fillId="2" borderId="1" xfId="1" applyNumberFormat="1" applyFont="1" applyFill="1" applyBorder="1" applyAlignment="1" applyProtection="1">
      <alignment vertical="center" wrapText="1"/>
    </xf>
    <xf numFmtId="0" fontId="9" fillId="0" borderId="2" xfId="1" applyNumberFormat="1" applyFont="1" applyFill="1" applyBorder="1" applyAlignment="1" applyProtection="1">
      <alignment horizontal="left" vertical="top" wrapText="1"/>
    </xf>
    <xf numFmtId="0" fontId="0" fillId="0" borderId="1" xfId="0" applyBorder="1"/>
    <xf numFmtId="2" fontId="0" fillId="0" borderId="1" xfId="0" applyNumberFormat="1" applyBorder="1"/>
    <xf numFmtId="2" fontId="13" fillId="0" borderId="1" xfId="0" applyNumberFormat="1" applyFont="1" applyBorder="1"/>
    <xf numFmtId="164" fontId="0" fillId="0" borderId="1" xfId="0" applyNumberFormat="1" applyBorder="1"/>
    <xf numFmtId="2" fontId="5" fillId="0" borderId="1" xfId="0" applyNumberFormat="1" applyFont="1" applyBorder="1"/>
    <xf numFmtId="0" fontId="12" fillId="0" borderId="0" xfId="0" applyFont="1" applyAlignment="1" applyProtection="1">
      <alignment horizontal="right"/>
      <protection locked="0"/>
    </xf>
    <xf numFmtId="0" fontId="14" fillId="0" borderId="4" xfId="0" applyFont="1" applyBorder="1" applyProtection="1">
      <protection locked="0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textRotation="90" wrapText="1"/>
    </xf>
    <xf numFmtId="0" fontId="12" fillId="0" borderId="1" xfId="0" applyFont="1" applyBorder="1" applyAlignment="1" applyProtection="1">
      <alignment textRotation="90" wrapText="1"/>
      <protection locked="0"/>
    </xf>
    <xf numFmtId="0" fontId="12" fillId="0" borderId="1" xfId="0" applyFont="1" applyBorder="1" applyProtection="1">
      <protection locked="0"/>
    </xf>
    <xf numFmtId="164" fontId="12" fillId="0" borderId="1" xfId="0" applyNumberFormat="1" applyFont="1" applyBorder="1" applyProtection="1">
      <protection locked="0"/>
    </xf>
    <xf numFmtId="164" fontId="12" fillId="0" borderId="5" xfId="0" applyNumberFormat="1" applyFont="1" applyBorder="1" applyProtection="1">
      <protection locked="0"/>
    </xf>
    <xf numFmtId="164" fontId="12" fillId="0" borderId="1" xfId="0" applyNumberFormat="1" applyFont="1" applyBorder="1" applyProtection="1"/>
    <xf numFmtId="2" fontId="12" fillId="0" borderId="1" xfId="0" applyNumberFormat="1" applyFont="1" applyBorder="1" applyProtection="1"/>
    <xf numFmtId="0" fontId="12" fillId="0" borderId="1" xfId="0" applyFont="1" applyBorder="1" applyProtection="1"/>
    <xf numFmtId="2" fontId="12" fillId="0" borderId="6" xfId="0" applyNumberFormat="1" applyFont="1" applyBorder="1" applyAlignment="1" applyProtection="1">
      <alignment horizontal="center"/>
    </xf>
    <xf numFmtId="2" fontId="12" fillId="0" borderId="7" xfId="0" applyNumberFormat="1" applyFont="1" applyBorder="1" applyAlignment="1" applyProtection="1">
      <alignment horizontal="center"/>
    </xf>
    <xf numFmtId="2" fontId="12" fillId="0" borderId="0" xfId="0" applyNumberFormat="1" applyFont="1" applyBorder="1" applyAlignment="1" applyProtection="1">
      <alignment horizontal="center"/>
      <protection locked="0"/>
    </xf>
    <xf numFmtId="2" fontId="4" fillId="0" borderId="1" xfId="0" applyNumberFormat="1" applyFont="1" applyBorder="1"/>
    <xf numFmtId="2" fontId="15" fillId="0" borderId="1" xfId="0" applyNumberFormat="1" applyFont="1" applyBorder="1"/>
    <xf numFmtId="0" fontId="16" fillId="0" borderId="1" xfId="0" applyFont="1" applyBorder="1"/>
    <xf numFmtId="164" fontId="5" fillId="0" borderId="1" xfId="0" applyNumberFormat="1" applyFont="1" applyBorder="1"/>
    <xf numFmtId="2" fontId="15" fillId="0" borderId="0" xfId="0" applyNumberFormat="1" applyFont="1"/>
    <xf numFmtId="2" fontId="2" fillId="0" borderId="1" xfId="0" applyNumberFormat="1" applyFont="1" applyBorder="1"/>
    <xf numFmtId="0" fontId="17" fillId="0" borderId="1" xfId="1" applyNumberFormat="1" applyFont="1" applyFill="1" applyBorder="1" applyAlignment="1" applyProtection="1">
      <alignment horizontal="left" vertical="top" wrapText="1"/>
    </xf>
    <xf numFmtId="2" fontId="16" fillId="0" borderId="1" xfId="0" applyNumberFormat="1" applyFont="1" applyBorder="1"/>
    <xf numFmtId="0" fontId="19" fillId="2" borderId="2" xfId="0" applyFont="1" applyFill="1" applyBorder="1" applyAlignment="1"/>
    <xf numFmtId="1" fontId="16" fillId="0" borderId="1" xfId="0" applyNumberFormat="1" applyFont="1" applyBorder="1"/>
    <xf numFmtId="1" fontId="16" fillId="0" borderId="0" xfId="0" applyNumberFormat="1" applyFont="1"/>
    <xf numFmtId="2" fontId="20" fillId="0" borderId="1" xfId="0" applyNumberFormat="1" applyFont="1" applyBorder="1"/>
    <xf numFmtId="1" fontId="20" fillId="0" borderId="1" xfId="0" applyNumberFormat="1" applyFont="1" applyBorder="1"/>
    <xf numFmtId="1" fontId="20" fillId="0" borderId="0" xfId="0" applyNumberFormat="1" applyFont="1" applyBorder="1"/>
    <xf numFmtId="2" fontId="15" fillId="0" borderId="0" xfId="0" applyNumberFormat="1" applyFont="1" applyBorder="1"/>
    <xf numFmtId="0" fontId="23" fillId="0" borderId="0" xfId="0" applyFont="1"/>
    <xf numFmtId="0" fontId="17" fillId="0" borderId="1" xfId="1" applyNumberFormat="1" applyFont="1" applyFill="1" applyBorder="1" applyAlignment="1" applyProtection="1">
      <alignment horizontal="left" vertical="center" wrapText="1"/>
    </xf>
    <xf numFmtId="2" fontId="17" fillId="0" borderId="1" xfId="0" applyNumberFormat="1" applyFont="1" applyBorder="1" applyAlignment="1">
      <alignment vertical="center"/>
    </xf>
    <xf numFmtId="0" fontId="19" fillId="2" borderId="1" xfId="0" applyFont="1" applyFill="1" applyBorder="1" applyAlignment="1"/>
    <xf numFmtId="2" fontId="20" fillId="0" borderId="1" xfId="0" applyNumberFormat="1" applyFont="1" applyBorder="1" applyAlignment="1">
      <alignment horizontal="center" vertical="center"/>
    </xf>
    <xf numFmtId="0" fontId="25" fillId="0" borderId="0" xfId="0" applyFont="1"/>
    <xf numFmtId="0" fontId="25" fillId="0" borderId="12" xfId="0" applyFont="1" applyBorder="1"/>
    <xf numFmtId="0" fontId="7" fillId="0" borderId="2" xfId="1" applyNumberFormat="1" applyFont="1" applyFill="1" applyBorder="1" applyAlignment="1" applyProtection="1">
      <alignment vertical="center" wrapText="1"/>
    </xf>
    <xf numFmtId="2" fontId="28" fillId="0" borderId="1" xfId="0" applyNumberFormat="1" applyFont="1" applyBorder="1"/>
    <xf numFmtId="2" fontId="30" fillId="0" borderId="1" xfId="0" applyNumberFormat="1" applyFont="1" applyBorder="1" applyAlignment="1">
      <alignment vertical="center"/>
    </xf>
    <xf numFmtId="1" fontId="17" fillId="0" borderId="1" xfId="0" applyNumberFormat="1" applyFont="1" applyBorder="1"/>
    <xf numFmtId="2" fontId="19" fillId="2" borderId="1" xfId="0" applyNumberFormat="1" applyFont="1" applyFill="1" applyBorder="1" applyAlignment="1"/>
    <xf numFmtId="2" fontId="17" fillId="0" borderId="1" xfId="1" applyNumberFormat="1" applyFont="1" applyFill="1" applyBorder="1" applyAlignment="1" applyProtection="1">
      <alignment horizontal="left" vertical="center" wrapText="1"/>
    </xf>
    <xf numFmtId="2" fontId="16" fillId="0" borderId="1" xfId="0" applyNumberFormat="1" applyFont="1" applyBorder="1" applyAlignment="1">
      <alignment horizontal="center" vertical="center"/>
    </xf>
    <xf numFmtId="0" fontId="34" fillId="0" borderId="1" xfId="0" applyFont="1" applyBorder="1"/>
    <xf numFmtId="2" fontId="33" fillId="0" borderId="1" xfId="0" applyNumberFormat="1" applyFont="1" applyBorder="1" applyAlignment="1">
      <alignment vertical="center"/>
    </xf>
    <xf numFmtId="0" fontId="0" fillId="0" borderId="0" xfId="0" applyFont="1"/>
    <xf numFmtId="1" fontId="20" fillId="0" borderId="1" xfId="0" applyNumberFormat="1" applyFont="1" applyBorder="1" applyAlignment="1"/>
    <xf numFmtId="0" fontId="0" fillId="0" borderId="0" xfId="0" applyAlignment="1"/>
    <xf numFmtId="0" fontId="0" fillId="0" borderId="1" xfId="0" applyBorder="1" applyAlignment="1"/>
    <xf numFmtId="2" fontId="0" fillId="0" borderId="1" xfId="0" applyNumberFormat="1" applyBorder="1" applyAlignment="1"/>
    <xf numFmtId="2" fontId="4" fillId="0" borderId="1" xfId="0" applyNumberFormat="1" applyFont="1" applyBorder="1" applyAlignment="1"/>
    <xf numFmtId="0" fontId="16" fillId="0" borderId="1" xfId="0" applyFont="1" applyBorder="1" applyAlignment="1"/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16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2" fontId="16" fillId="0" borderId="11" xfId="0" applyNumberFormat="1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1" fontId="16" fillId="0" borderId="1" xfId="0" applyNumberFormat="1" applyFont="1" applyBorder="1" applyAlignment="1">
      <alignment horizontal="left" vertical="center"/>
    </xf>
    <xf numFmtId="2" fontId="16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1" fontId="38" fillId="0" borderId="1" xfId="0" applyNumberFormat="1" applyFont="1" applyBorder="1"/>
    <xf numFmtId="0" fontId="39" fillId="0" borderId="0" xfId="0" applyFont="1"/>
    <xf numFmtId="1" fontId="29" fillId="0" borderId="1" xfId="0" applyNumberFormat="1" applyFont="1" applyBorder="1"/>
    <xf numFmtId="0" fontId="36" fillId="0" borderId="0" xfId="0" applyFont="1"/>
    <xf numFmtId="0" fontId="41" fillId="0" borderId="0" xfId="0" applyFont="1"/>
    <xf numFmtId="0" fontId="40" fillId="2" borderId="1" xfId="0" applyFont="1" applyFill="1" applyBorder="1" applyAlignment="1"/>
    <xf numFmtId="2" fontId="0" fillId="0" borderId="1" xfId="0" applyNumberForma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44" fillId="0" borderId="1" xfId="0" applyNumberFormat="1" applyFont="1" applyBorder="1"/>
    <xf numFmtId="0" fontId="1" fillId="0" borderId="0" xfId="0" applyFont="1"/>
    <xf numFmtId="0" fontId="35" fillId="0" borderId="0" xfId="0" applyFont="1"/>
    <xf numFmtId="2" fontId="35" fillId="0" borderId="1" xfId="0" applyNumberFormat="1" applyFont="1" applyBorder="1"/>
    <xf numFmtId="1" fontId="46" fillId="0" borderId="1" xfId="0" applyNumberFormat="1" applyFont="1" applyBorder="1"/>
    <xf numFmtId="0" fontId="1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ont="1" applyAlignment="1">
      <alignment vertical="center"/>
    </xf>
    <xf numFmtId="1" fontId="16" fillId="0" borderId="1" xfId="0" applyNumberFormat="1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2" fontId="35" fillId="0" borderId="1" xfId="0" applyNumberFormat="1" applyFont="1" applyBorder="1" applyAlignment="1">
      <alignment vertical="center"/>
    </xf>
    <xf numFmtId="0" fontId="35" fillId="0" borderId="0" xfId="0" applyFont="1" applyAlignment="1">
      <alignment vertical="center"/>
    </xf>
    <xf numFmtId="164" fontId="35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2" fontId="34" fillId="0" borderId="1" xfId="0" applyNumberFormat="1" applyFont="1" applyBorder="1" applyAlignment="1">
      <alignment vertical="center"/>
    </xf>
    <xf numFmtId="2" fontId="17" fillId="0" borderId="1" xfId="0" applyNumberFormat="1" applyFont="1" applyBorder="1" applyAlignment="1">
      <alignment horizontal="center"/>
    </xf>
    <xf numFmtId="2" fontId="45" fillId="0" borderId="0" xfId="0" applyNumberFormat="1" applyFont="1" applyAlignment="1"/>
    <xf numFmtId="2" fontId="35" fillId="0" borderId="0" xfId="0" applyNumberFormat="1" applyFont="1" applyAlignment="1">
      <alignment vertical="center"/>
    </xf>
    <xf numFmtId="2" fontId="0" fillId="0" borderId="1" xfId="0" applyNumberFormat="1" applyFont="1" applyBorder="1" applyAlignment="1">
      <alignment vertical="center"/>
    </xf>
    <xf numFmtId="2" fontId="0" fillId="0" borderId="0" xfId="0" applyNumberFormat="1" applyFont="1" applyAlignment="1">
      <alignment vertical="center"/>
    </xf>
    <xf numFmtId="2" fontId="2" fillId="0" borderId="2" xfId="0" applyNumberFormat="1" applyFont="1" applyBorder="1" applyAlignment="1">
      <alignment vertical="center"/>
    </xf>
    <xf numFmtId="2" fontId="2" fillId="2" borderId="1" xfId="1" applyNumberFormat="1" applyFont="1" applyFill="1" applyBorder="1" applyAlignment="1" applyProtection="1">
      <alignment vertical="center" wrapText="1"/>
    </xf>
    <xf numFmtId="2" fontId="2" fillId="0" borderId="11" xfId="0" applyNumberFormat="1" applyFont="1" applyBorder="1" applyAlignment="1">
      <alignment vertical="center"/>
    </xf>
    <xf numFmtId="2" fontId="48" fillId="2" borderId="1" xfId="1" applyNumberFormat="1" applyFont="1" applyFill="1" applyBorder="1" applyAlignment="1" applyProtection="1">
      <alignment vertical="center" wrapText="1"/>
    </xf>
    <xf numFmtId="2" fontId="5" fillId="0" borderId="8" xfId="0" applyNumberFormat="1" applyFont="1" applyBorder="1" applyAlignment="1">
      <alignment horizontal="left"/>
    </xf>
    <xf numFmtId="2" fontId="5" fillId="0" borderId="1" xfId="1" applyNumberFormat="1" applyFont="1" applyFill="1" applyBorder="1" applyAlignment="1" applyProtection="1">
      <alignment horizontal="left" wrapText="1"/>
    </xf>
    <xf numFmtId="2" fontId="5" fillId="0" borderId="1" xfId="0" applyNumberFormat="1" applyFont="1" applyBorder="1" applyAlignment="1">
      <alignment horizontal="left"/>
    </xf>
    <xf numFmtId="2" fontId="44" fillId="0" borderId="0" xfId="0" applyNumberFormat="1" applyFont="1" applyAlignment="1">
      <alignment horizontal="left"/>
    </xf>
    <xf numFmtId="2" fontId="20" fillId="0" borderId="0" xfId="0" applyNumberFormat="1" applyFont="1" applyBorder="1" applyAlignment="1">
      <alignment horizontal="center" vertical="center"/>
    </xf>
    <xf numFmtId="2" fontId="28" fillId="0" borderId="0" xfId="0" applyNumberFormat="1" applyFont="1" applyBorder="1"/>
    <xf numFmtId="2" fontId="0" fillId="0" borderId="0" xfId="0" applyNumberFormat="1" applyBorder="1"/>
    <xf numFmtId="2" fontId="49" fillId="0" borderId="0" xfId="0" applyNumberFormat="1" applyFont="1" applyBorder="1"/>
    <xf numFmtId="2" fontId="17" fillId="0" borderId="0" xfId="0" applyNumberFormat="1" applyFont="1" applyBorder="1" applyAlignment="1">
      <alignment vertical="center"/>
    </xf>
    <xf numFmtId="2" fontId="30" fillId="0" borderId="0" xfId="0" applyNumberFormat="1" applyFont="1" applyBorder="1" applyAlignment="1">
      <alignment vertical="center"/>
    </xf>
    <xf numFmtId="2" fontId="29" fillId="0" borderId="5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0" fontId="29" fillId="0" borderId="5" xfId="1" applyNumberFormat="1" applyFont="1" applyFill="1" applyBorder="1" applyAlignment="1" applyProtection="1">
      <alignment horizontal="center" vertical="center" wrapText="1"/>
    </xf>
    <xf numFmtId="0" fontId="29" fillId="0" borderId="9" xfId="1" applyNumberFormat="1" applyFont="1" applyFill="1" applyBorder="1" applyAlignment="1" applyProtection="1">
      <alignment horizontal="center" vertical="center" wrapText="1"/>
    </xf>
    <xf numFmtId="0" fontId="29" fillId="0" borderId="10" xfId="1" applyNumberFormat="1" applyFont="1" applyFill="1" applyBorder="1" applyAlignment="1" applyProtection="1">
      <alignment horizontal="center" vertical="center" wrapText="1"/>
    </xf>
    <xf numFmtId="0" fontId="40" fillId="2" borderId="5" xfId="0" applyFont="1" applyFill="1" applyBorder="1" applyAlignment="1">
      <alignment horizontal="center"/>
    </xf>
    <xf numFmtId="0" fontId="40" fillId="2" borderId="9" xfId="0" applyFont="1" applyFill="1" applyBorder="1" applyAlignment="1">
      <alignment horizontal="center"/>
    </xf>
    <xf numFmtId="0" fontId="40" fillId="2" borderId="10" xfId="0" applyFont="1" applyFill="1" applyBorder="1" applyAlignment="1">
      <alignment horizontal="center"/>
    </xf>
    <xf numFmtId="2" fontId="27" fillId="0" borderId="5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27" fillId="0" borderId="9" xfId="0" applyNumberFormat="1" applyFont="1" applyBorder="1" applyAlignment="1">
      <alignment horizontal="center"/>
    </xf>
    <xf numFmtId="2" fontId="27" fillId="0" borderId="10" xfId="0" applyNumberFormat="1" applyFont="1" applyBorder="1" applyAlignment="1">
      <alignment horizontal="center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31" fillId="2" borderId="2" xfId="1" applyNumberFormat="1" applyFont="1" applyFill="1" applyBorder="1" applyAlignment="1" applyProtection="1">
      <alignment horizontal="center" vertical="top" wrapText="1"/>
    </xf>
    <xf numFmtId="0" fontId="31" fillId="2" borderId="11" xfId="1" applyNumberFormat="1" applyFont="1" applyFill="1" applyBorder="1" applyAlignment="1" applyProtection="1">
      <alignment horizontal="center" vertical="top" wrapText="1"/>
    </xf>
    <xf numFmtId="0" fontId="31" fillId="2" borderId="8" xfId="1" applyNumberFormat="1" applyFont="1" applyFill="1" applyBorder="1" applyAlignment="1" applyProtection="1">
      <alignment horizontal="center" vertical="top" wrapText="1"/>
    </xf>
    <xf numFmtId="0" fontId="22" fillId="2" borderId="2" xfId="1" applyNumberFormat="1" applyFont="1" applyFill="1" applyBorder="1" applyAlignment="1" applyProtection="1">
      <alignment horizontal="center" vertical="top"/>
    </xf>
    <xf numFmtId="0" fontId="22" fillId="2" borderId="11" xfId="1" applyNumberFormat="1" applyFont="1" applyFill="1" applyBorder="1" applyAlignment="1" applyProtection="1">
      <alignment horizontal="center" vertical="top"/>
    </xf>
    <xf numFmtId="0" fontId="22" fillId="2" borderId="8" xfId="1" applyNumberFormat="1" applyFont="1" applyFill="1" applyBorder="1" applyAlignment="1" applyProtection="1">
      <alignment horizontal="center" vertical="top"/>
    </xf>
    <xf numFmtId="0" fontId="7" fillId="0" borderId="2" xfId="1" applyNumberFormat="1" applyFont="1" applyFill="1" applyBorder="1" applyAlignment="1" applyProtection="1">
      <alignment horizontal="center" vertical="center"/>
    </xf>
    <xf numFmtId="0" fontId="7" fillId="0" borderId="11" xfId="1" applyNumberFormat="1" applyFont="1" applyFill="1" applyBorder="1" applyAlignment="1" applyProtection="1">
      <alignment horizontal="center" vertical="center"/>
    </xf>
    <xf numFmtId="0" fontId="7" fillId="0" borderId="8" xfId="1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19" fillId="0" borderId="2" xfId="1" applyNumberFormat="1" applyFont="1" applyFill="1" applyBorder="1" applyAlignment="1" applyProtection="1">
      <alignment horizontal="center" vertical="center"/>
    </xf>
    <xf numFmtId="0" fontId="19" fillId="0" borderId="11" xfId="1" applyNumberFormat="1" applyFont="1" applyFill="1" applyBorder="1" applyAlignment="1" applyProtection="1">
      <alignment horizontal="center" vertical="center"/>
    </xf>
    <xf numFmtId="0" fontId="19" fillId="0" borderId="8" xfId="1" applyNumberFormat="1" applyFont="1" applyFill="1" applyBorder="1" applyAlignment="1" applyProtection="1">
      <alignment horizontal="center" vertical="center"/>
    </xf>
    <xf numFmtId="0" fontId="20" fillId="0" borderId="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7" fillId="2" borderId="2" xfId="1" applyNumberFormat="1" applyFont="1" applyFill="1" applyBorder="1" applyAlignment="1" applyProtection="1">
      <alignment horizontal="center" vertical="center"/>
    </xf>
    <xf numFmtId="0" fontId="7" fillId="2" borderId="8" xfId="1" applyNumberFormat="1" applyFont="1" applyFill="1" applyBorder="1" applyAlignment="1" applyProtection="1">
      <alignment horizontal="center" vertical="center"/>
    </xf>
    <xf numFmtId="0" fontId="27" fillId="0" borderId="5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9" fillId="0" borderId="5" xfId="1" applyNumberFormat="1" applyFont="1" applyFill="1" applyBorder="1" applyAlignment="1" applyProtection="1">
      <alignment horizontal="center" vertical="top" wrapText="1"/>
    </xf>
    <xf numFmtId="0" fontId="9" fillId="0" borderId="9" xfId="1" applyNumberFormat="1" applyFont="1" applyFill="1" applyBorder="1" applyAlignment="1" applyProtection="1">
      <alignment horizontal="center" vertical="top" wrapText="1"/>
    </xf>
    <xf numFmtId="0" fontId="9" fillId="0" borderId="10" xfId="1" applyNumberFormat="1" applyFont="1" applyFill="1" applyBorder="1" applyAlignment="1" applyProtection="1">
      <alignment horizontal="center" vertical="top" wrapText="1"/>
    </xf>
    <xf numFmtId="2" fontId="37" fillId="0" borderId="5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37" fillId="0" borderId="10" xfId="0" applyNumberFormat="1" applyFont="1" applyBorder="1" applyAlignment="1">
      <alignment horizontal="center" vertical="center"/>
    </xf>
    <xf numFmtId="2" fontId="19" fillId="0" borderId="2" xfId="1" applyNumberFormat="1" applyFont="1" applyFill="1" applyBorder="1" applyAlignment="1" applyProtection="1">
      <alignment horizontal="center" vertical="center"/>
    </xf>
    <xf numFmtId="2" fontId="19" fillId="0" borderId="8" xfId="1" applyNumberFormat="1" applyFont="1" applyFill="1" applyBorder="1" applyAlignment="1" applyProtection="1">
      <alignment horizontal="center" vertical="center"/>
    </xf>
    <xf numFmtId="2" fontId="19" fillId="2" borderId="2" xfId="1" applyNumberFormat="1" applyFont="1" applyFill="1" applyBorder="1" applyAlignment="1" applyProtection="1">
      <alignment horizontal="center" vertical="center"/>
    </xf>
    <xf numFmtId="2" fontId="19" fillId="2" borderId="8" xfId="1" applyNumberFormat="1" applyFont="1" applyFill="1" applyBorder="1" applyAlignment="1" applyProtection="1">
      <alignment horizontal="center" vertical="center"/>
    </xf>
    <xf numFmtId="2" fontId="19" fillId="2" borderId="2" xfId="0" applyNumberFormat="1" applyFont="1" applyFill="1" applyBorder="1" applyAlignment="1">
      <alignment horizontal="center"/>
    </xf>
    <xf numFmtId="2" fontId="19" fillId="2" borderId="8" xfId="0" applyNumberFormat="1" applyFont="1" applyFill="1" applyBorder="1" applyAlignment="1">
      <alignment horizontal="center"/>
    </xf>
    <xf numFmtId="2" fontId="8" fillId="0" borderId="2" xfId="1" applyNumberFormat="1" applyFont="1" applyFill="1" applyBorder="1" applyAlignment="1" applyProtection="1">
      <alignment horizontal="center" vertical="center"/>
    </xf>
    <xf numFmtId="2" fontId="8" fillId="0" borderId="8" xfId="1" applyNumberFormat="1" applyFont="1" applyFill="1" applyBorder="1" applyAlignment="1" applyProtection="1">
      <alignment horizontal="center" vertical="center"/>
    </xf>
    <xf numFmtId="2" fontId="7" fillId="0" borderId="2" xfId="1" applyNumberFormat="1" applyFont="1" applyFill="1" applyBorder="1" applyAlignment="1" applyProtection="1">
      <alignment horizontal="center" vertical="center" wrapText="1"/>
    </xf>
    <xf numFmtId="2" fontId="7" fillId="0" borderId="11" xfId="1" applyNumberFormat="1" applyFont="1" applyFill="1" applyBorder="1" applyAlignment="1" applyProtection="1">
      <alignment horizontal="center" vertical="center" wrapText="1"/>
    </xf>
    <xf numFmtId="2" fontId="7" fillId="0" borderId="8" xfId="1" applyNumberFormat="1" applyFont="1" applyFill="1" applyBorder="1" applyAlignment="1" applyProtection="1">
      <alignment horizontal="center" vertical="center" wrapText="1"/>
    </xf>
    <xf numFmtId="2" fontId="19" fillId="2" borderId="11" xfId="1" applyNumberFormat="1" applyFont="1" applyFill="1" applyBorder="1" applyAlignment="1" applyProtection="1">
      <alignment horizontal="center" vertical="center"/>
    </xf>
    <xf numFmtId="2" fontId="19" fillId="0" borderId="11" xfId="1" applyNumberFormat="1" applyFont="1" applyFill="1" applyBorder="1" applyAlignment="1" applyProtection="1">
      <alignment horizontal="center" vertical="center"/>
    </xf>
    <xf numFmtId="2" fontId="7" fillId="0" borderId="2" xfId="1" applyNumberFormat="1" applyFont="1" applyFill="1" applyBorder="1" applyAlignment="1" applyProtection="1">
      <alignment horizontal="center" vertical="center"/>
    </xf>
    <xf numFmtId="2" fontId="7" fillId="0" borderId="11" xfId="1" applyNumberFormat="1" applyFont="1" applyFill="1" applyBorder="1" applyAlignment="1" applyProtection="1">
      <alignment horizontal="center" vertical="center"/>
    </xf>
    <xf numFmtId="2" fontId="7" fillId="0" borderId="8" xfId="1" applyNumberFormat="1" applyFont="1" applyFill="1" applyBorder="1" applyAlignment="1" applyProtection="1">
      <alignment horizontal="center" vertical="center"/>
    </xf>
    <xf numFmtId="2" fontId="18" fillId="0" borderId="9" xfId="0" applyNumberFormat="1" applyFon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29" fillId="0" borderId="5" xfId="0" applyNumberFormat="1" applyFont="1" applyBorder="1" applyAlignment="1">
      <alignment horizontal="center" vertical="center"/>
    </xf>
    <xf numFmtId="2" fontId="29" fillId="0" borderId="9" xfId="0" applyNumberFormat="1" applyFont="1" applyBorder="1" applyAlignment="1">
      <alignment horizontal="center" vertical="center"/>
    </xf>
    <xf numFmtId="2" fontId="29" fillId="0" borderId="10" xfId="0" applyNumberFormat="1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/>
    </xf>
    <xf numFmtId="0" fontId="7" fillId="0" borderId="2" xfId="1" applyNumberFormat="1" applyFont="1" applyFill="1" applyBorder="1" applyAlignment="1" applyProtection="1">
      <alignment horizontal="center" vertical="center" wrapText="1"/>
    </xf>
    <xf numFmtId="0" fontId="7" fillId="0" borderId="11" xfId="1" applyNumberFormat="1" applyFont="1" applyFill="1" applyBorder="1" applyAlignment="1" applyProtection="1">
      <alignment horizontal="center" vertical="center" wrapText="1"/>
    </xf>
    <xf numFmtId="0" fontId="7" fillId="0" borderId="8" xfId="1" applyNumberFormat="1" applyFont="1" applyFill="1" applyBorder="1" applyAlignment="1" applyProtection="1">
      <alignment horizontal="center" vertical="center" wrapText="1"/>
    </xf>
    <xf numFmtId="0" fontId="19" fillId="2" borderId="2" xfId="1" applyNumberFormat="1" applyFont="1" applyFill="1" applyBorder="1" applyAlignment="1" applyProtection="1">
      <alignment horizontal="center" vertical="center"/>
    </xf>
    <xf numFmtId="0" fontId="19" fillId="2" borderId="11" xfId="1" applyNumberFormat="1" applyFont="1" applyFill="1" applyBorder="1" applyAlignment="1" applyProtection="1">
      <alignment horizontal="center" vertical="center"/>
    </xf>
    <xf numFmtId="0" fontId="19" fillId="2" borderId="8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2" fontId="19" fillId="0" borderId="5" xfId="1" applyNumberFormat="1" applyFont="1" applyFill="1" applyBorder="1" applyAlignment="1" applyProtection="1">
      <alignment horizontal="center" vertical="center"/>
    </xf>
    <xf numFmtId="2" fontId="19" fillId="0" borderId="9" xfId="1" applyNumberFormat="1" applyFont="1" applyFill="1" applyBorder="1" applyAlignment="1" applyProtection="1">
      <alignment horizontal="center" vertical="center"/>
    </xf>
    <xf numFmtId="2" fontId="19" fillId="0" borderId="10" xfId="1" applyNumberFormat="1" applyFont="1" applyFill="1" applyBorder="1" applyAlignment="1" applyProtection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2" fontId="17" fillId="0" borderId="11" xfId="0" applyNumberFormat="1" applyFont="1" applyBorder="1" applyAlignment="1">
      <alignment horizontal="center" vertical="center"/>
    </xf>
    <xf numFmtId="2" fontId="17" fillId="0" borderId="8" xfId="0" applyNumberFormat="1" applyFont="1" applyBorder="1" applyAlignment="1">
      <alignment horizontal="center" vertical="center"/>
    </xf>
    <xf numFmtId="0" fontId="29" fillId="0" borderId="3" xfId="1" applyNumberFormat="1" applyFont="1" applyFill="1" applyBorder="1" applyAlignment="1" applyProtection="1">
      <alignment horizontal="center" vertical="top" wrapText="1"/>
    </xf>
    <xf numFmtId="0" fontId="29" fillId="0" borderId="15" xfId="1" applyNumberFormat="1" applyFont="1" applyFill="1" applyBorder="1" applyAlignment="1" applyProtection="1">
      <alignment horizontal="center" vertical="top" wrapText="1"/>
    </xf>
    <xf numFmtId="0" fontId="29" fillId="0" borderId="16" xfId="1" applyNumberFormat="1" applyFont="1" applyFill="1" applyBorder="1" applyAlignment="1" applyProtection="1">
      <alignment horizontal="center" vertical="top" wrapText="1"/>
    </xf>
    <xf numFmtId="0" fontId="26" fillId="0" borderId="5" xfId="0" applyFont="1" applyBorder="1" applyAlignment="1">
      <alignment horizontal="center"/>
    </xf>
    <xf numFmtId="0" fontId="0" fillId="0" borderId="9" xfId="0" applyBorder="1" applyAlignment="1">
      <alignment horizontal="left"/>
    </xf>
    <xf numFmtId="2" fontId="42" fillId="0" borderId="5" xfId="0" applyNumberFormat="1" applyFont="1" applyBorder="1" applyAlignment="1">
      <alignment horizontal="center"/>
    </xf>
    <xf numFmtId="2" fontId="42" fillId="0" borderId="9" xfId="0" applyNumberFormat="1" applyFont="1" applyBorder="1" applyAlignment="1">
      <alignment horizontal="center"/>
    </xf>
    <xf numFmtId="2" fontId="42" fillId="0" borderId="10" xfId="0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2" fontId="29" fillId="0" borderId="9" xfId="0" applyNumberFormat="1" applyFont="1" applyBorder="1" applyAlignment="1">
      <alignment horizontal="center"/>
    </xf>
    <xf numFmtId="2" fontId="29" fillId="0" borderId="10" xfId="0" applyNumberFormat="1" applyFont="1" applyBorder="1" applyAlignment="1">
      <alignment horizontal="center"/>
    </xf>
    <xf numFmtId="2" fontId="16" fillId="0" borderId="9" xfId="0" applyNumberFormat="1" applyFont="1" applyBorder="1" applyAlignment="1">
      <alignment horizontal="center"/>
    </xf>
    <xf numFmtId="2" fontId="16" fillId="0" borderId="10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9" fillId="0" borderId="0" xfId="1" applyNumberFormat="1" applyFont="1" applyFill="1" applyBorder="1" applyAlignment="1" applyProtection="1">
      <alignment horizontal="center" vertical="center"/>
    </xf>
    <xf numFmtId="0" fontId="8" fillId="0" borderId="2" xfId="1" applyNumberFormat="1" applyFont="1" applyFill="1" applyBorder="1" applyAlignment="1" applyProtection="1">
      <alignment horizontal="center" vertical="center"/>
    </xf>
    <xf numFmtId="0" fontId="8" fillId="0" borderId="8" xfId="1" applyNumberFormat="1" applyFont="1" applyFill="1" applyBorder="1" applyAlignment="1" applyProtection="1">
      <alignment horizontal="center" vertical="center"/>
    </xf>
    <xf numFmtId="0" fontId="19" fillId="0" borderId="5" xfId="1" applyNumberFormat="1" applyFont="1" applyFill="1" applyBorder="1" applyAlignment="1" applyProtection="1">
      <alignment horizontal="center" vertical="center"/>
    </xf>
    <xf numFmtId="0" fontId="19" fillId="0" borderId="9" xfId="1" applyNumberFormat="1" applyFont="1" applyFill="1" applyBorder="1" applyAlignment="1" applyProtection="1">
      <alignment horizontal="center" vertical="center"/>
    </xf>
    <xf numFmtId="0" fontId="19" fillId="0" borderId="10" xfId="1" applyNumberFormat="1" applyFont="1" applyFill="1" applyBorder="1" applyAlignment="1" applyProtection="1">
      <alignment horizontal="center" vertical="center"/>
    </xf>
    <xf numFmtId="2" fontId="38" fillId="0" borderId="5" xfId="0" applyNumberFormat="1" applyFont="1" applyBorder="1" applyAlignment="1">
      <alignment horizontal="center"/>
    </xf>
    <xf numFmtId="2" fontId="38" fillId="0" borderId="9" xfId="0" applyNumberFormat="1" applyFont="1" applyBorder="1" applyAlignment="1">
      <alignment horizontal="center"/>
    </xf>
    <xf numFmtId="2" fontId="38" fillId="0" borderId="10" xfId="0" applyNumberFormat="1" applyFont="1" applyBorder="1" applyAlignment="1">
      <alignment horizontal="center"/>
    </xf>
    <xf numFmtId="0" fontId="23" fillId="0" borderId="8" xfId="0" applyFont="1" applyBorder="1"/>
    <xf numFmtId="0" fontId="17" fillId="0" borderId="5" xfId="1" applyNumberFormat="1" applyFont="1" applyFill="1" applyBorder="1" applyAlignment="1" applyProtection="1">
      <alignment horizontal="center" vertical="top" wrapText="1"/>
    </xf>
    <xf numFmtId="0" fontId="17" fillId="0" borderId="9" xfId="1" applyNumberFormat="1" applyFont="1" applyFill="1" applyBorder="1" applyAlignment="1" applyProtection="1">
      <alignment horizontal="center" vertical="top" wrapText="1"/>
    </xf>
    <xf numFmtId="0" fontId="17" fillId="0" borderId="10" xfId="1" applyNumberFormat="1" applyFont="1" applyFill="1" applyBorder="1" applyAlignment="1" applyProtection="1">
      <alignment horizontal="center" vertical="top" wrapText="1"/>
    </xf>
    <xf numFmtId="2" fontId="32" fillId="0" borderId="9" xfId="0" applyNumberFormat="1" applyFont="1" applyBorder="1" applyAlignment="1">
      <alignment horizontal="center"/>
    </xf>
    <xf numFmtId="2" fontId="32" fillId="0" borderId="10" xfId="0" applyNumberFormat="1" applyFont="1" applyBorder="1" applyAlignment="1">
      <alignment horizontal="center"/>
    </xf>
    <xf numFmtId="0" fontId="9" fillId="0" borderId="5" xfId="1" applyNumberFormat="1" applyFont="1" applyFill="1" applyBorder="1" applyAlignment="1" applyProtection="1">
      <alignment horizontal="center" vertical="center" wrapText="1"/>
    </xf>
    <xf numFmtId="0" fontId="9" fillId="0" borderId="9" xfId="1" applyNumberFormat="1" applyFont="1" applyFill="1" applyBorder="1" applyAlignment="1" applyProtection="1">
      <alignment horizontal="center" vertical="center" wrapText="1"/>
    </xf>
    <xf numFmtId="0" fontId="9" fillId="0" borderId="10" xfId="1" applyNumberFormat="1" applyFont="1" applyFill="1" applyBorder="1" applyAlignment="1" applyProtection="1">
      <alignment horizontal="center" vertical="center" wrapText="1"/>
    </xf>
    <xf numFmtId="2" fontId="39" fillId="0" borderId="9" xfId="0" applyNumberFormat="1" applyFont="1" applyBorder="1" applyAlignment="1">
      <alignment horizontal="center"/>
    </xf>
    <xf numFmtId="2" fontId="39" fillId="0" borderId="10" xfId="0" applyNumberFormat="1" applyFont="1" applyBorder="1" applyAlignment="1">
      <alignment horizontal="center"/>
    </xf>
    <xf numFmtId="0" fontId="36" fillId="0" borderId="9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2" fontId="47" fillId="0" borderId="5" xfId="1" applyNumberFormat="1" applyFont="1" applyFill="1" applyBorder="1" applyAlignment="1" applyProtection="1">
      <alignment horizontal="center" vertical="center" wrapText="1"/>
    </xf>
    <xf numFmtId="2" fontId="47" fillId="0" borderId="9" xfId="1" applyNumberFormat="1" applyFont="1" applyFill="1" applyBorder="1" applyAlignment="1" applyProtection="1">
      <alignment horizontal="center" vertical="center" wrapText="1"/>
    </xf>
    <xf numFmtId="2" fontId="47" fillId="0" borderId="10" xfId="1" applyNumberFormat="1" applyFont="1" applyFill="1" applyBorder="1" applyAlignment="1" applyProtection="1">
      <alignment horizontal="center" vertical="center" wrapText="1"/>
    </xf>
    <xf numFmtId="0" fontId="24" fillId="0" borderId="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2" fontId="37" fillId="0" borderId="5" xfId="0" applyNumberFormat="1" applyFont="1" applyBorder="1" applyAlignment="1">
      <alignment horizontal="center"/>
    </xf>
    <xf numFmtId="2" fontId="35" fillId="0" borderId="9" xfId="0" applyNumberFormat="1" applyFont="1" applyBorder="1" applyAlignment="1">
      <alignment horizontal="center"/>
    </xf>
    <xf numFmtId="2" fontId="35" fillId="0" borderId="10" xfId="0" applyNumberFormat="1" applyFont="1" applyBorder="1" applyAlignment="1">
      <alignment horizontal="center"/>
    </xf>
    <xf numFmtId="2" fontId="43" fillId="0" borderId="9" xfId="0" applyNumberFormat="1" applyFont="1" applyBorder="1" applyAlignment="1">
      <alignment horizontal="center"/>
    </xf>
    <xf numFmtId="2" fontId="43" fillId="0" borderId="10" xfId="0" applyNumberFormat="1" applyFont="1" applyBorder="1" applyAlignment="1">
      <alignment horizontal="center"/>
    </xf>
    <xf numFmtId="1" fontId="49" fillId="0" borderId="3" xfId="0" applyNumberFormat="1" applyFon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16" fillId="0" borderId="13" xfId="0" applyNumberFormat="1" applyFont="1" applyBorder="1" applyAlignment="1">
      <alignment horizontal="center"/>
    </xf>
    <xf numFmtId="1" fontId="20" fillId="0" borderId="0" xfId="0" applyNumberFormat="1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1" fontId="20" fillId="0" borderId="13" xfId="0" applyNumberFormat="1" applyFont="1" applyBorder="1" applyAlignment="1">
      <alignment horizontal="center"/>
    </xf>
    <xf numFmtId="2" fontId="20" fillId="0" borderId="13" xfId="0" applyNumberFormat="1" applyFont="1" applyBorder="1" applyAlignment="1">
      <alignment horizontal="center"/>
    </xf>
    <xf numFmtId="2" fontId="20" fillId="0" borderId="0" xfId="0" applyNumberFormat="1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1" fontId="20" fillId="0" borderId="2" xfId="0" applyNumberFormat="1" applyFont="1" applyBorder="1" applyAlignment="1">
      <alignment horizontal="center"/>
    </xf>
    <xf numFmtId="1" fontId="20" fillId="0" borderId="3" xfId="0" applyNumberFormat="1" applyFont="1" applyBorder="1" applyAlignment="1">
      <alignment horizontal="center"/>
    </xf>
    <xf numFmtId="1" fontId="20" fillId="0" borderId="15" xfId="0" applyNumberFormat="1" applyFont="1" applyBorder="1" applyAlignment="1">
      <alignment horizontal="center"/>
    </xf>
    <xf numFmtId="2" fontId="20" fillId="0" borderId="0" xfId="0" applyNumberFormat="1" applyFont="1" applyBorder="1" applyAlignment="1">
      <alignment horizontal="center" vertical="center"/>
    </xf>
    <xf numFmtId="1" fontId="16" fillId="0" borderId="0" xfId="0" applyNumberFormat="1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0" fontId="25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25"/>
  <sheetViews>
    <sheetView tabSelected="1" zoomScale="85" zoomScaleNormal="85" zoomScalePageLayoutView="62" workbookViewId="0">
      <selection activeCell="A326" sqref="A326:XFD328"/>
    </sheetView>
  </sheetViews>
  <sheetFormatPr defaultRowHeight="14.4"/>
  <cols>
    <col min="1" max="1" width="3.44140625" customWidth="1"/>
    <col min="2" max="2" width="25.109375" customWidth="1"/>
    <col min="3" max="3" width="10.33203125" customWidth="1"/>
    <col min="6" max="6" width="8.44140625" customWidth="1"/>
    <col min="7" max="7" width="8.88671875" customWidth="1"/>
    <col min="8" max="8" width="11.5546875" customWidth="1"/>
    <col min="10" max="11" width="9.109375" customWidth="1"/>
    <col min="14" max="15" width="9.109375" customWidth="1"/>
    <col min="16" max="16" width="7.44140625" customWidth="1"/>
    <col min="17" max="17" width="9.5546875" customWidth="1"/>
    <col min="18" max="18" width="9.88671875" customWidth="1"/>
  </cols>
  <sheetData>
    <row r="1" spans="1:18" ht="33.75" customHeight="1">
      <c r="A1" s="221" t="s">
        <v>131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</row>
    <row r="2" spans="1:18" ht="18.75" customHeight="1">
      <c r="A2" s="185"/>
      <c r="B2" s="222" t="s">
        <v>0</v>
      </c>
      <c r="C2" s="187" t="s">
        <v>84</v>
      </c>
      <c r="D2" s="190" t="s">
        <v>19</v>
      </c>
      <c r="E2" s="190" t="s">
        <v>18</v>
      </c>
      <c r="F2" s="146" t="s">
        <v>1</v>
      </c>
      <c r="G2" s="146" t="s">
        <v>2</v>
      </c>
      <c r="H2" s="142" t="s">
        <v>3</v>
      </c>
      <c r="I2" s="146" t="s">
        <v>4</v>
      </c>
      <c r="J2" s="224" t="s">
        <v>5</v>
      </c>
      <c r="K2" s="225"/>
      <c r="L2" s="226"/>
      <c r="M2" s="224" t="s">
        <v>6</v>
      </c>
      <c r="N2" s="225"/>
      <c r="O2" s="225"/>
      <c r="P2" s="226"/>
      <c r="Q2" s="146" t="s">
        <v>65</v>
      </c>
      <c r="R2" s="194" t="s">
        <v>102</v>
      </c>
    </row>
    <row r="3" spans="1:18" ht="15" customHeight="1">
      <c r="A3" s="186"/>
      <c r="B3" s="223"/>
      <c r="C3" s="188"/>
      <c r="D3" s="191"/>
      <c r="E3" s="191"/>
      <c r="F3" s="147"/>
      <c r="G3" s="147"/>
      <c r="H3" s="143"/>
      <c r="I3" s="147"/>
      <c r="J3" s="146" t="s">
        <v>7</v>
      </c>
      <c r="K3" s="190" t="s">
        <v>8</v>
      </c>
      <c r="L3" s="146" t="s">
        <v>9</v>
      </c>
      <c r="M3" s="146" t="s">
        <v>10</v>
      </c>
      <c r="N3" s="146" t="s">
        <v>11</v>
      </c>
      <c r="O3" s="146" t="s">
        <v>12</v>
      </c>
      <c r="P3" s="146" t="s">
        <v>13</v>
      </c>
      <c r="Q3" s="147"/>
      <c r="R3" s="195"/>
    </row>
    <row r="4" spans="1:18" ht="17.399999999999999">
      <c r="A4" s="42"/>
      <c r="B4" s="40"/>
      <c r="C4" s="189"/>
      <c r="D4" s="192"/>
      <c r="E4" s="192"/>
      <c r="F4" s="148"/>
      <c r="G4" s="148"/>
      <c r="H4" s="144"/>
      <c r="I4" s="148"/>
      <c r="J4" s="148"/>
      <c r="K4" s="192"/>
      <c r="L4" s="148"/>
      <c r="M4" s="148"/>
      <c r="N4" s="148"/>
      <c r="O4" s="148"/>
      <c r="P4" s="148"/>
      <c r="Q4" s="148"/>
      <c r="R4" s="196"/>
    </row>
    <row r="5" spans="1:18" ht="21">
      <c r="A5" s="26"/>
      <c r="B5" s="154" t="s">
        <v>117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213"/>
    </row>
    <row r="6" spans="1:18" ht="18">
      <c r="A6" s="26"/>
      <c r="B6" s="3" t="s">
        <v>20</v>
      </c>
      <c r="C6" s="4">
        <v>50</v>
      </c>
      <c r="D6" s="4">
        <v>0</v>
      </c>
      <c r="E6" s="4">
        <f>C6-D6</f>
        <v>50</v>
      </c>
      <c r="F6" s="4">
        <f>E6*12.6%</f>
        <v>6.3</v>
      </c>
      <c r="G6" s="4">
        <f>E6*3.3%</f>
        <v>1.6500000000000001</v>
      </c>
      <c r="H6" s="4">
        <f>E6*62.1%</f>
        <v>31.05</v>
      </c>
      <c r="I6" s="4">
        <f>E6*335%</f>
        <v>167.5</v>
      </c>
      <c r="J6" s="4">
        <f>E6*0.43%</f>
        <v>0.215</v>
      </c>
      <c r="K6" s="4">
        <v>0</v>
      </c>
      <c r="L6" s="4">
        <v>0</v>
      </c>
      <c r="M6" s="4">
        <f>E6*20%</f>
        <v>10</v>
      </c>
      <c r="N6" s="4">
        <f>E6*298%</f>
        <v>149</v>
      </c>
      <c r="O6" s="4">
        <f>E6*200%</f>
        <v>100</v>
      </c>
      <c r="P6" s="4">
        <f>E6*6.7%</f>
        <v>3.35</v>
      </c>
      <c r="Q6" s="4">
        <v>85</v>
      </c>
      <c r="R6" s="24">
        <f>C6/1000*85</f>
        <v>4.25</v>
      </c>
    </row>
    <row r="7" spans="1:18" ht="18">
      <c r="A7" s="26"/>
      <c r="B7" s="3" t="s">
        <v>21</v>
      </c>
      <c r="C7" s="4">
        <v>10</v>
      </c>
      <c r="D7" s="4">
        <v>0</v>
      </c>
      <c r="E7" s="4">
        <f>C7-D7</f>
        <v>10</v>
      </c>
      <c r="F7" s="4">
        <f>E7*0.5%</f>
        <v>0.05</v>
      </c>
      <c r="G7" s="4">
        <f>E7*82.5%</f>
        <v>8.25</v>
      </c>
      <c r="H7" s="4">
        <f>E7*0.8%</f>
        <v>0.08</v>
      </c>
      <c r="I7" s="4">
        <f>E7*748%</f>
        <v>74.800000000000011</v>
      </c>
      <c r="J7" s="4">
        <v>0</v>
      </c>
      <c r="K7" s="4">
        <v>0</v>
      </c>
      <c r="L7" s="4">
        <f>E7*0.59%</f>
        <v>5.8999999999999997E-2</v>
      </c>
      <c r="M7" s="4">
        <f>E7*12%</f>
        <v>1.2</v>
      </c>
      <c r="N7" s="4">
        <f>E7*19%</f>
        <v>1.9</v>
      </c>
      <c r="O7" s="4">
        <f>E7*0.4%</f>
        <v>0.04</v>
      </c>
      <c r="P7" s="4">
        <f>E7*0.2%</f>
        <v>0.02</v>
      </c>
      <c r="Q7" s="4">
        <v>480</v>
      </c>
      <c r="R7" s="24">
        <f>C7/1000*480</f>
        <v>4.8</v>
      </c>
    </row>
    <row r="8" spans="1:18" ht="18">
      <c r="A8" s="26"/>
      <c r="B8" s="26" t="s">
        <v>68</v>
      </c>
      <c r="C8" s="7">
        <f>C7+C6</f>
        <v>60</v>
      </c>
      <c r="D8" s="7">
        <v>0</v>
      </c>
      <c r="E8" s="7">
        <v>100</v>
      </c>
      <c r="F8" s="7">
        <f t="shared" ref="F8:P8" si="0">SUM(F6:F7)</f>
        <v>6.35</v>
      </c>
      <c r="G8" s="7">
        <f t="shared" si="0"/>
        <v>9.9</v>
      </c>
      <c r="H8" s="7">
        <f t="shared" si="0"/>
        <v>31.13</v>
      </c>
      <c r="I8" s="7">
        <f t="shared" si="0"/>
        <v>242.3</v>
      </c>
      <c r="J8" s="7">
        <f t="shared" si="0"/>
        <v>0.215</v>
      </c>
      <c r="K8" s="7">
        <f t="shared" si="0"/>
        <v>0</v>
      </c>
      <c r="L8" s="7">
        <f t="shared" si="0"/>
        <v>5.8999999999999997E-2</v>
      </c>
      <c r="M8" s="7">
        <f t="shared" si="0"/>
        <v>11.2</v>
      </c>
      <c r="N8" s="7">
        <f t="shared" si="0"/>
        <v>150.9</v>
      </c>
      <c r="O8" s="7">
        <f t="shared" si="0"/>
        <v>100.04</v>
      </c>
      <c r="P8" s="7">
        <f t="shared" si="0"/>
        <v>3.37</v>
      </c>
      <c r="Q8" s="7"/>
      <c r="R8" s="7">
        <f>SUM(R6:R7)</f>
        <v>9.0500000000000007</v>
      </c>
    </row>
    <row r="9" spans="1:18" ht="21">
      <c r="A9" s="36"/>
      <c r="B9" s="154" t="s">
        <v>95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213"/>
    </row>
    <row r="10" spans="1:18" ht="18">
      <c r="A10" s="36"/>
      <c r="B10" s="3" t="s">
        <v>72</v>
      </c>
      <c r="C10" s="4">
        <v>95</v>
      </c>
      <c r="D10" s="4">
        <f>C10*25%</f>
        <v>23.75</v>
      </c>
      <c r="E10" s="4">
        <f>C10-D10</f>
        <v>71.25</v>
      </c>
      <c r="F10" s="4">
        <f>E10*18.2%</f>
        <v>12.967499999999999</v>
      </c>
      <c r="G10" s="4">
        <f>E10*18.4%</f>
        <v>13.11</v>
      </c>
      <c r="H10" s="4">
        <f>E10*0.7%</f>
        <v>0.49874999999999997</v>
      </c>
      <c r="I10" s="4">
        <f>E10*241%</f>
        <v>171.71250000000001</v>
      </c>
      <c r="J10" s="4">
        <f>E10*0.07%</f>
        <v>4.987500000000001E-2</v>
      </c>
      <c r="K10" s="4">
        <v>0</v>
      </c>
      <c r="L10" s="4">
        <f>E10*0.07%</f>
        <v>4.987500000000001E-2</v>
      </c>
      <c r="M10" s="4">
        <f>E10*16%</f>
        <v>11.4</v>
      </c>
      <c r="N10" s="4">
        <f>E10*165%</f>
        <v>117.5625</v>
      </c>
      <c r="O10" s="4">
        <f>E10*18%</f>
        <v>12.824999999999999</v>
      </c>
      <c r="P10" s="4">
        <f>E10*1.6%</f>
        <v>1.1400000000000001</v>
      </c>
      <c r="Q10" s="4">
        <v>270</v>
      </c>
      <c r="R10" s="4">
        <f>C10/1000*270</f>
        <v>25.65</v>
      </c>
    </row>
    <row r="11" spans="1:18" ht="18">
      <c r="A11" s="36"/>
      <c r="B11" s="31" t="s">
        <v>68</v>
      </c>
      <c r="C11" s="7">
        <f>SUM(C10:C10)</f>
        <v>95</v>
      </c>
      <c r="D11" s="7">
        <f>SUM(D10:D10)</f>
        <v>23.75</v>
      </c>
      <c r="E11" s="7">
        <f>E10-0</f>
        <v>71.25</v>
      </c>
      <c r="F11" s="7">
        <f t="shared" ref="F11:P11" si="1">SUM(F10:F10)</f>
        <v>12.967499999999999</v>
      </c>
      <c r="G11" s="7">
        <f t="shared" si="1"/>
        <v>13.11</v>
      </c>
      <c r="H11" s="7">
        <f t="shared" si="1"/>
        <v>0.49874999999999997</v>
      </c>
      <c r="I11" s="7">
        <f t="shared" si="1"/>
        <v>171.71250000000001</v>
      </c>
      <c r="J11" s="7">
        <f t="shared" si="1"/>
        <v>4.987500000000001E-2</v>
      </c>
      <c r="K11" s="7">
        <f t="shared" si="1"/>
        <v>0</v>
      </c>
      <c r="L11" s="7">
        <f t="shared" si="1"/>
        <v>4.987500000000001E-2</v>
      </c>
      <c r="M11" s="7">
        <f t="shared" si="1"/>
        <v>11.4</v>
      </c>
      <c r="N11" s="7">
        <f t="shared" si="1"/>
        <v>117.5625</v>
      </c>
      <c r="O11" s="7">
        <f t="shared" si="1"/>
        <v>12.824999999999999</v>
      </c>
      <c r="P11" s="7">
        <f t="shared" si="1"/>
        <v>1.1400000000000001</v>
      </c>
      <c r="Q11" s="7"/>
      <c r="R11" s="7">
        <f>SUM(R10:R10)</f>
        <v>25.65</v>
      </c>
    </row>
    <row r="12" spans="1:18" s="78" customFormat="1" ht="21">
      <c r="A12" s="77"/>
      <c r="B12" s="130" t="s">
        <v>92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4"/>
    </row>
    <row r="13" spans="1:18" ht="18">
      <c r="A13" s="33"/>
      <c r="B13" s="31" t="s">
        <v>68</v>
      </c>
      <c r="C13" s="7">
        <v>30</v>
      </c>
      <c r="D13" s="7">
        <v>0</v>
      </c>
      <c r="E13" s="7">
        <f>C13-D13</f>
        <v>30</v>
      </c>
      <c r="F13" s="7">
        <f>E13*7.9%</f>
        <v>2.37</v>
      </c>
      <c r="G13" s="7">
        <f>E13*1%</f>
        <v>0.3</v>
      </c>
      <c r="H13" s="7">
        <f>E13*48.1%</f>
        <v>14.430000000000001</v>
      </c>
      <c r="I13" s="7">
        <f>E13*239%</f>
        <v>71.7</v>
      </c>
      <c r="J13" s="7">
        <f>E13*0.16%</f>
        <v>4.8000000000000001E-2</v>
      </c>
      <c r="K13" s="7">
        <v>0</v>
      </c>
      <c r="L13" s="7">
        <v>0</v>
      </c>
      <c r="M13" s="7">
        <f>E13*23%</f>
        <v>6.9</v>
      </c>
      <c r="N13" s="7">
        <f>E13*87%</f>
        <v>26.1</v>
      </c>
      <c r="O13" s="7">
        <f>E13*33%</f>
        <v>9.9</v>
      </c>
      <c r="P13" s="7">
        <f>E13*2%</f>
        <v>0.6</v>
      </c>
      <c r="Q13" s="7">
        <v>50</v>
      </c>
      <c r="R13" s="7">
        <f>C13/1000*50</f>
        <v>1.5</v>
      </c>
    </row>
    <row r="14" spans="1:18" ht="21">
      <c r="A14" s="33"/>
      <c r="B14" s="130" t="s">
        <v>97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4"/>
    </row>
    <row r="15" spans="1:18" ht="18">
      <c r="A15" s="33"/>
      <c r="B15" s="4" t="s">
        <v>66</v>
      </c>
      <c r="C15" s="4">
        <v>15</v>
      </c>
      <c r="D15" s="4">
        <v>0</v>
      </c>
      <c r="E15" s="4">
        <v>15</v>
      </c>
      <c r="F15" s="4">
        <f>E15*5.2%</f>
        <v>0.78</v>
      </c>
      <c r="G15" s="4">
        <v>0</v>
      </c>
      <c r="H15" s="4">
        <f>E15*55%</f>
        <v>8.25</v>
      </c>
      <c r="I15" s="4">
        <f>E15*234%</f>
        <v>35.099999999999994</v>
      </c>
      <c r="J15" s="4">
        <f>E15*0.1%</f>
        <v>1.4999999999999999E-2</v>
      </c>
      <c r="K15" s="4">
        <f>E15*4%</f>
        <v>0.6</v>
      </c>
      <c r="L15" s="4">
        <v>0</v>
      </c>
      <c r="M15" s="4">
        <f>E15*160%</f>
        <v>24</v>
      </c>
      <c r="N15" s="4">
        <f>E15*146%</f>
        <v>21.9</v>
      </c>
      <c r="O15" s="4">
        <f>E15*105%</f>
        <v>15.75</v>
      </c>
      <c r="P15" s="4">
        <f>E15*3.2%</f>
        <v>0.48</v>
      </c>
      <c r="Q15" s="4">
        <v>350</v>
      </c>
      <c r="R15" s="4">
        <f>C15/1000*350</f>
        <v>5.25</v>
      </c>
    </row>
    <row r="16" spans="1:18" ht="18">
      <c r="A16" s="33"/>
      <c r="B16" s="4" t="s">
        <v>67</v>
      </c>
      <c r="C16" s="4">
        <v>10</v>
      </c>
      <c r="D16" s="4">
        <v>0</v>
      </c>
      <c r="E16" s="4">
        <v>10</v>
      </c>
      <c r="F16" s="4">
        <v>0</v>
      </c>
      <c r="G16" s="4">
        <v>0</v>
      </c>
      <c r="H16" s="4">
        <f>E16*99.8%</f>
        <v>9.98</v>
      </c>
      <c r="I16" s="4">
        <f>E16*379%</f>
        <v>37.9</v>
      </c>
      <c r="J16" s="4">
        <v>0</v>
      </c>
      <c r="K16" s="4">
        <v>0</v>
      </c>
      <c r="L16" s="4">
        <v>0</v>
      </c>
      <c r="M16" s="4">
        <f>E16*2%</f>
        <v>0.2</v>
      </c>
      <c r="N16" s="4">
        <v>0</v>
      </c>
      <c r="O16" s="4">
        <v>0</v>
      </c>
      <c r="P16" s="4">
        <f>E16*0.3%</f>
        <v>0.03</v>
      </c>
      <c r="Q16" s="4">
        <v>60</v>
      </c>
      <c r="R16" s="4">
        <f>C16/1000*60</f>
        <v>0.6</v>
      </c>
    </row>
    <row r="17" spans="1:18" ht="18">
      <c r="A17" s="33"/>
      <c r="B17" s="31" t="s">
        <v>68</v>
      </c>
      <c r="C17" s="7">
        <v>25</v>
      </c>
      <c r="D17" s="7">
        <f>SUM(D15:D16)</f>
        <v>0</v>
      </c>
      <c r="E17" s="7">
        <v>150</v>
      </c>
      <c r="F17" s="7">
        <f t="shared" ref="F17:P17" si="2">SUM(F15:F16)</f>
        <v>0.78</v>
      </c>
      <c r="G17" s="7">
        <f t="shared" si="2"/>
        <v>0</v>
      </c>
      <c r="H17" s="7">
        <f t="shared" si="2"/>
        <v>18.23</v>
      </c>
      <c r="I17" s="7">
        <f t="shared" si="2"/>
        <v>73</v>
      </c>
      <c r="J17" s="7">
        <f t="shared" si="2"/>
        <v>1.4999999999999999E-2</v>
      </c>
      <c r="K17" s="7">
        <f t="shared" si="2"/>
        <v>0.6</v>
      </c>
      <c r="L17" s="7">
        <f t="shared" si="2"/>
        <v>0</v>
      </c>
      <c r="M17" s="7">
        <f t="shared" si="2"/>
        <v>24.2</v>
      </c>
      <c r="N17" s="7">
        <f t="shared" si="2"/>
        <v>21.9</v>
      </c>
      <c r="O17" s="7">
        <f t="shared" si="2"/>
        <v>15.75</v>
      </c>
      <c r="P17" s="7">
        <f t="shared" si="2"/>
        <v>0.51</v>
      </c>
      <c r="Q17" s="7"/>
      <c r="R17" s="7">
        <f>SUM(R15:R16)</f>
        <v>5.85</v>
      </c>
    </row>
    <row r="18" spans="1:18" s="78" customFormat="1" ht="21">
      <c r="A18" s="77"/>
      <c r="B18" s="121" t="s">
        <v>98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5"/>
    </row>
    <row r="19" spans="1:18" ht="18">
      <c r="A19" s="33"/>
      <c r="B19" s="31" t="s">
        <v>68</v>
      </c>
      <c r="C19" s="7">
        <v>60</v>
      </c>
      <c r="D19" s="7">
        <v>0</v>
      </c>
      <c r="E19" s="7">
        <f>C19-D19</f>
        <v>60</v>
      </c>
      <c r="F19" s="4">
        <f>E19*7.5%</f>
        <v>4.5</v>
      </c>
      <c r="G19" s="4">
        <f>E19*11.8%</f>
        <v>7.08</v>
      </c>
      <c r="H19" s="4">
        <f>E19*74.4%</f>
        <v>44.640000000000008</v>
      </c>
      <c r="I19" s="4">
        <f>E19*436%</f>
        <v>261.60000000000002</v>
      </c>
      <c r="J19" s="4">
        <f>E19*0.08%</f>
        <v>4.8000000000000001E-2</v>
      </c>
      <c r="K19" s="4">
        <f>E19*0%</f>
        <v>0</v>
      </c>
      <c r="L19" s="4">
        <f>E19*0%</f>
        <v>0</v>
      </c>
      <c r="M19" s="4">
        <f>E19*29%</f>
        <v>17.399999999999999</v>
      </c>
      <c r="N19" s="4">
        <f>E19*90%</f>
        <v>54</v>
      </c>
      <c r="O19" s="4">
        <f>E19*20%</f>
        <v>12</v>
      </c>
      <c r="P19" s="4">
        <f>E19*2.1%</f>
        <v>1.26</v>
      </c>
      <c r="Q19" s="4">
        <v>160</v>
      </c>
      <c r="R19" s="7">
        <f>C19/1000*160</f>
        <v>9.6</v>
      </c>
    </row>
    <row r="20" spans="1:18" ht="22.5" customHeight="1">
      <c r="A20" s="33"/>
      <c r="B20" s="130" t="s">
        <v>148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4"/>
    </row>
    <row r="21" spans="1:18" ht="18">
      <c r="A21" s="33"/>
      <c r="B21" s="31" t="s">
        <v>68</v>
      </c>
      <c r="C21" s="7">
        <v>155</v>
      </c>
      <c r="D21" s="7">
        <v>0</v>
      </c>
      <c r="E21" s="7">
        <f>C21-D21</f>
        <v>155</v>
      </c>
      <c r="F21" s="7">
        <f>E21*0.6%</f>
        <v>0.93</v>
      </c>
      <c r="G21" s="7">
        <f>E21*0.2%</f>
        <v>0.31</v>
      </c>
      <c r="H21" s="7">
        <f>E21*15%</f>
        <v>23.25</v>
      </c>
      <c r="I21" s="7">
        <f>E21*65%</f>
        <v>100.75</v>
      </c>
      <c r="J21" s="7">
        <f>E21*0.05%</f>
        <v>7.7499999999999999E-2</v>
      </c>
      <c r="K21" s="7">
        <f>E21*6%</f>
        <v>9.2999999999999989</v>
      </c>
      <c r="L21" s="7">
        <v>0</v>
      </c>
      <c r="M21" s="7">
        <f>E21*45%</f>
        <v>69.75</v>
      </c>
      <c r="N21" s="7">
        <f>E21*22%</f>
        <v>34.1</v>
      </c>
      <c r="O21" s="7">
        <f>E21*17%</f>
        <v>26.35</v>
      </c>
      <c r="P21" s="7">
        <f>E21*0.6%</f>
        <v>0.93</v>
      </c>
      <c r="Q21" s="7">
        <v>60</v>
      </c>
      <c r="R21" s="7">
        <f>C21/1000*60</f>
        <v>9.3000000000000007</v>
      </c>
    </row>
    <row r="22" spans="1:18" ht="18">
      <c r="A22" s="36"/>
      <c r="B22" s="212" t="s">
        <v>90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7"/>
    </row>
    <row r="23" spans="1:18" ht="18">
      <c r="A23" s="36"/>
      <c r="B23" s="31" t="s">
        <v>68</v>
      </c>
      <c r="C23" s="27">
        <v>3</v>
      </c>
      <c r="D23" s="7">
        <v>0</v>
      </c>
      <c r="E23" s="27">
        <f>C23-D23</f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20</v>
      </c>
      <c r="R23" s="27">
        <f>C23/1000*20</f>
        <v>0.06</v>
      </c>
    </row>
    <row r="24" spans="1:18" ht="18">
      <c r="A24" s="36"/>
      <c r="B24" s="31"/>
      <c r="C24" s="27"/>
      <c r="D24" s="7"/>
      <c r="E24" s="2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27"/>
    </row>
    <row r="25" spans="1:18" ht="23.4">
      <c r="A25" s="36"/>
      <c r="B25" s="25" t="s">
        <v>68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>
        <f>R23+R21+R19+R17+R13+R11+R8</f>
        <v>61.010000000000005</v>
      </c>
    </row>
    <row r="26" spans="1:18" s="265" customFormat="1" ht="23.25" customHeight="1">
      <c r="A26" s="263" t="s">
        <v>147</v>
      </c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</row>
    <row r="27" spans="1:18" s="265" customFormat="1" ht="23.25" customHeight="1">
      <c r="A27" s="266"/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</row>
    <row r="28" spans="1:18" s="265" customFormat="1" ht="23.25" customHeight="1">
      <c r="A28" s="266"/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</row>
    <row r="29" spans="1:18" ht="18">
      <c r="A29" s="36"/>
      <c r="B29" s="135" t="s">
        <v>0</v>
      </c>
      <c r="C29" s="136" t="s">
        <v>17</v>
      </c>
      <c r="D29" s="139" t="s">
        <v>19</v>
      </c>
      <c r="E29" s="139" t="s">
        <v>18</v>
      </c>
      <c r="F29" s="142" t="s">
        <v>1</v>
      </c>
      <c r="G29" s="142" t="s">
        <v>2</v>
      </c>
      <c r="H29" s="142" t="s">
        <v>3</v>
      </c>
      <c r="I29" s="142" t="s">
        <v>4</v>
      </c>
      <c r="J29" s="145" t="s">
        <v>5</v>
      </c>
      <c r="K29" s="145"/>
      <c r="L29" s="145"/>
      <c r="M29" s="145" t="s">
        <v>6</v>
      </c>
      <c r="N29" s="145"/>
      <c r="O29" s="145"/>
      <c r="P29" s="145"/>
      <c r="Q29" s="146" t="s">
        <v>65</v>
      </c>
      <c r="R29" s="218" t="s">
        <v>102</v>
      </c>
    </row>
    <row r="30" spans="1:18" ht="18">
      <c r="A30" s="36"/>
      <c r="B30" s="135"/>
      <c r="C30" s="137"/>
      <c r="D30" s="140"/>
      <c r="E30" s="140"/>
      <c r="F30" s="143"/>
      <c r="G30" s="143"/>
      <c r="H30" s="143"/>
      <c r="I30" s="143"/>
      <c r="J30" s="142" t="s">
        <v>7</v>
      </c>
      <c r="K30" s="152" t="s">
        <v>8</v>
      </c>
      <c r="L30" s="142" t="s">
        <v>9</v>
      </c>
      <c r="M30" s="142" t="s">
        <v>10</v>
      </c>
      <c r="N30" s="142" t="s">
        <v>11</v>
      </c>
      <c r="O30" s="142" t="s">
        <v>12</v>
      </c>
      <c r="P30" s="142" t="s">
        <v>13</v>
      </c>
      <c r="Q30" s="147"/>
      <c r="R30" s="219"/>
    </row>
    <row r="31" spans="1:18" ht="20.399999999999999">
      <c r="A31" s="36"/>
      <c r="B31" s="2"/>
      <c r="C31" s="138"/>
      <c r="D31" s="141"/>
      <c r="E31" s="141"/>
      <c r="F31" s="144"/>
      <c r="G31" s="144"/>
      <c r="H31" s="144"/>
      <c r="I31" s="144"/>
      <c r="J31" s="144"/>
      <c r="K31" s="153"/>
      <c r="L31" s="144"/>
      <c r="M31" s="144"/>
      <c r="N31" s="144"/>
      <c r="O31" s="144"/>
      <c r="P31" s="144"/>
      <c r="Q31" s="148"/>
      <c r="R31" s="220"/>
    </row>
    <row r="32" spans="1:18" ht="20.399999999999999">
      <c r="A32" s="36"/>
      <c r="B32" s="158" t="s">
        <v>115</v>
      </c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60"/>
    </row>
    <row r="33" spans="1:18" ht="18">
      <c r="A33" s="26"/>
      <c r="B33" s="3" t="s">
        <v>22</v>
      </c>
      <c r="C33" s="4">
        <v>50</v>
      </c>
      <c r="D33" s="4">
        <f>C33*0.26</f>
        <v>13</v>
      </c>
      <c r="E33" s="4">
        <f>SUM(C33-D33)</f>
        <v>37</v>
      </c>
      <c r="F33" s="4">
        <f>E33*18.6%</f>
        <v>6.8820000000000006</v>
      </c>
      <c r="G33" s="4">
        <f>E33*16%</f>
        <v>5.92</v>
      </c>
      <c r="H33" s="4">
        <v>0</v>
      </c>
      <c r="I33" s="4">
        <f>E33*218%</f>
        <v>80.660000000000011</v>
      </c>
      <c r="J33" s="4">
        <f>E33*0.06%</f>
        <v>2.2199999999999998E-2</v>
      </c>
      <c r="K33" s="4">
        <v>0</v>
      </c>
      <c r="L33" s="4">
        <v>0</v>
      </c>
      <c r="M33" s="4">
        <f>E33*9%</f>
        <v>3.33</v>
      </c>
      <c r="N33" s="4">
        <f>E33*188%</f>
        <v>69.56</v>
      </c>
      <c r="O33" s="4">
        <f>E33*22%</f>
        <v>8.14</v>
      </c>
      <c r="P33" s="4">
        <f>E33*2.7%</f>
        <v>0.99900000000000011</v>
      </c>
      <c r="Q33" s="4">
        <v>475</v>
      </c>
      <c r="R33" s="4">
        <f>C33/1000*475</f>
        <v>23.75</v>
      </c>
    </row>
    <row r="34" spans="1:18" ht="18">
      <c r="A34" s="26"/>
      <c r="B34" s="3" t="s">
        <v>71</v>
      </c>
      <c r="C34" s="81">
        <v>10</v>
      </c>
      <c r="D34" s="4">
        <f>C34*0.16</f>
        <v>1.6</v>
      </c>
      <c r="E34" s="4">
        <f>C34-D34</f>
        <v>8.4</v>
      </c>
      <c r="F34" s="4">
        <f>E34*1.4%</f>
        <v>0.1176</v>
      </c>
      <c r="G34">
        <v>0</v>
      </c>
      <c r="H34" s="4">
        <f>E34*9.1%</f>
        <v>0.76439999999999997</v>
      </c>
      <c r="I34" s="4">
        <f>E34*41%</f>
        <v>3.444</v>
      </c>
      <c r="J34" s="4">
        <f>E34*0.05%</f>
        <v>4.2000000000000006E-3</v>
      </c>
      <c r="K34" s="4">
        <f>E34*10%</f>
        <v>0.84000000000000008</v>
      </c>
      <c r="L34" s="4">
        <v>0</v>
      </c>
      <c r="M34" s="4">
        <f>E34*31%</f>
        <v>2.6040000000000001</v>
      </c>
      <c r="N34" s="4">
        <f>E34*58%</f>
        <v>4.8719999999999999</v>
      </c>
      <c r="O34" s="4">
        <f>E34*14%</f>
        <v>1.1760000000000002</v>
      </c>
      <c r="P34" s="4">
        <f>E34*0.8%</f>
        <v>6.720000000000001E-2</v>
      </c>
      <c r="Q34" s="4">
        <v>40</v>
      </c>
      <c r="R34" s="4">
        <f>C34/1000*40</f>
        <v>0.4</v>
      </c>
    </row>
    <row r="35" spans="1:18" ht="18">
      <c r="A35" s="33"/>
      <c r="B35" s="3" t="s">
        <v>70</v>
      </c>
      <c r="C35" s="4">
        <v>60</v>
      </c>
      <c r="D35" s="4">
        <f>C35*25%</f>
        <v>15</v>
      </c>
      <c r="E35" s="4">
        <f>C35-D35</f>
        <v>45</v>
      </c>
      <c r="F35" s="4">
        <f>E35*2%</f>
        <v>0.9</v>
      </c>
      <c r="G35" s="4">
        <f>E35*0.4%</f>
        <v>0.18</v>
      </c>
      <c r="H35" s="4">
        <f>E35*16.3%</f>
        <v>7.335</v>
      </c>
      <c r="I35" s="4">
        <f>E35*80%</f>
        <v>36</v>
      </c>
      <c r="J35" s="4">
        <f>E35*0.12%</f>
        <v>5.3999999999999992E-2</v>
      </c>
      <c r="K35" s="4">
        <f>E35*20%</f>
        <v>9</v>
      </c>
      <c r="L35" s="4">
        <v>0</v>
      </c>
      <c r="M35" s="4">
        <f>E35*10%</f>
        <v>4.5</v>
      </c>
      <c r="N35" s="4">
        <f>E35*58%</f>
        <v>26.099999999999998</v>
      </c>
      <c r="O35" s="4">
        <f>E35*23%</f>
        <v>10.35</v>
      </c>
      <c r="P35" s="4">
        <f>E35*0.9%</f>
        <v>0.40500000000000003</v>
      </c>
      <c r="Q35" s="4">
        <v>57</v>
      </c>
      <c r="R35" s="4">
        <f>C35/1000*57</f>
        <v>3.42</v>
      </c>
    </row>
    <row r="36" spans="1:18" ht="18">
      <c r="A36" s="26"/>
      <c r="B36" s="3" t="s">
        <v>21</v>
      </c>
      <c r="C36" s="4">
        <v>10</v>
      </c>
      <c r="D36" s="4">
        <v>0</v>
      </c>
      <c r="E36" s="4">
        <f>C36-D36</f>
        <v>10</v>
      </c>
      <c r="F36" s="4">
        <f>E36*0.5%</f>
        <v>0.05</v>
      </c>
      <c r="G36" s="4">
        <f>E36*82.5%</f>
        <v>8.25</v>
      </c>
      <c r="H36" s="4">
        <f>E36*0.8%</f>
        <v>0.08</v>
      </c>
      <c r="I36" s="4">
        <f>E36*748%</f>
        <v>74.800000000000011</v>
      </c>
      <c r="J36" s="4">
        <v>0</v>
      </c>
      <c r="K36" s="4">
        <v>0</v>
      </c>
      <c r="L36" s="4">
        <f>E36*0.59%</f>
        <v>5.8999999999999997E-2</v>
      </c>
      <c r="M36" s="4">
        <f>E36*12%</f>
        <v>1.2</v>
      </c>
      <c r="N36" s="4">
        <f>E36*19%</f>
        <v>1.9</v>
      </c>
      <c r="O36" s="4">
        <f>E36*0.4%</f>
        <v>0.04</v>
      </c>
      <c r="P36" s="4">
        <f>E36*0.2%</f>
        <v>0.02</v>
      </c>
      <c r="Q36" s="4">
        <v>480</v>
      </c>
      <c r="R36" s="24">
        <f>C36/1000*480</f>
        <v>4.8</v>
      </c>
    </row>
    <row r="37" spans="1:18" ht="18">
      <c r="A37" s="33"/>
      <c r="B37" s="30" t="s">
        <v>68</v>
      </c>
      <c r="C37" s="5">
        <f t="shared" ref="C37:P37" si="3">SUM(C35:C36)</f>
        <v>70</v>
      </c>
      <c r="D37" s="5">
        <f t="shared" si="3"/>
        <v>15</v>
      </c>
      <c r="E37" s="5">
        <f t="shared" si="3"/>
        <v>55</v>
      </c>
      <c r="F37" s="5">
        <f t="shared" si="3"/>
        <v>0.95000000000000007</v>
      </c>
      <c r="G37" s="5">
        <f t="shared" si="3"/>
        <v>8.43</v>
      </c>
      <c r="H37" s="5">
        <f t="shared" si="3"/>
        <v>7.415</v>
      </c>
      <c r="I37" s="5">
        <f t="shared" si="3"/>
        <v>110.80000000000001</v>
      </c>
      <c r="J37" s="5">
        <f t="shared" si="3"/>
        <v>5.3999999999999992E-2</v>
      </c>
      <c r="K37" s="5">
        <f t="shared" si="3"/>
        <v>9</v>
      </c>
      <c r="L37" s="5">
        <f t="shared" si="3"/>
        <v>5.8999999999999997E-2</v>
      </c>
      <c r="M37" s="5">
        <f t="shared" si="3"/>
        <v>5.7</v>
      </c>
      <c r="N37" s="5">
        <f t="shared" si="3"/>
        <v>27.999999999999996</v>
      </c>
      <c r="O37" s="5">
        <f t="shared" si="3"/>
        <v>10.389999999999999</v>
      </c>
      <c r="P37" s="5">
        <f t="shared" si="3"/>
        <v>0.42500000000000004</v>
      </c>
      <c r="Q37" s="5"/>
      <c r="R37" s="5">
        <f>SUM(R33:R36)</f>
        <v>32.369999999999997</v>
      </c>
    </row>
    <row r="38" spans="1:18" ht="21">
      <c r="A38" s="33"/>
      <c r="B38" s="203" t="s">
        <v>116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5"/>
    </row>
    <row r="39" spans="1:18" ht="18">
      <c r="A39" s="26"/>
      <c r="B39" s="3" t="s">
        <v>71</v>
      </c>
      <c r="C39" s="81">
        <v>20</v>
      </c>
      <c r="D39" s="4">
        <f>C39*0.16</f>
        <v>3.2</v>
      </c>
      <c r="E39" s="4">
        <f>C39-D39</f>
        <v>16.8</v>
      </c>
      <c r="F39" s="4">
        <f>E39*1.4%</f>
        <v>0.23519999999999999</v>
      </c>
      <c r="G39">
        <v>0</v>
      </c>
      <c r="H39" s="4">
        <f>E39*9.1%</f>
        <v>1.5287999999999999</v>
      </c>
      <c r="I39" s="4">
        <f>E39*41%</f>
        <v>6.8879999999999999</v>
      </c>
      <c r="J39" s="4">
        <f>E39*0.05%</f>
        <v>8.4000000000000012E-3</v>
      </c>
      <c r="K39" s="4">
        <f>E39*10%</f>
        <v>1.6800000000000002</v>
      </c>
      <c r="L39" s="4">
        <v>0</v>
      </c>
      <c r="M39" s="4">
        <f>E39*31%</f>
        <v>5.2080000000000002</v>
      </c>
      <c r="N39" s="4">
        <f>E39*58%</f>
        <v>9.7439999999999998</v>
      </c>
      <c r="O39" s="4">
        <f>E39*14%</f>
        <v>2.3520000000000003</v>
      </c>
      <c r="P39" s="4">
        <f>E39*0.8%</f>
        <v>0.13440000000000002</v>
      </c>
      <c r="Q39" s="4">
        <v>40</v>
      </c>
      <c r="R39" s="4">
        <f>C39/1000*40</f>
        <v>0.8</v>
      </c>
    </row>
    <row r="40" spans="1:18" ht="18.75" customHeight="1">
      <c r="A40" s="33"/>
      <c r="B40" s="3" t="s">
        <v>25</v>
      </c>
      <c r="C40" s="81">
        <v>5</v>
      </c>
      <c r="D40" s="4">
        <v>0</v>
      </c>
      <c r="E40" s="4">
        <f>SUM(C40:D40)</f>
        <v>5</v>
      </c>
      <c r="F40" s="4">
        <f>E40*1%</f>
        <v>0.05</v>
      </c>
      <c r="G40" s="4">
        <v>0</v>
      </c>
      <c r="H40" s="4">
        <f>E40*3.5%</f>
        <v>0.17500000000000002</v>
      </c>
      <c r="I40" s="4">
        <f>E40*19%</f>
        <v>0.95</v>
      </c>
      <c r="J40" s="4">
        <f>E40*0.03%</f>
        <v>1.4999999999999998E-3</v>
      </c>
      <c r="K40" s="4">
        <f>E40*10%</f>
        <v>0.5</v>
      </c>
      <c r="L40" s="4">
        <v>0</v>
      </c>
      <c r="M40" s="4">
        <f>C40*7%</f>
        <v>0.35000000000000003</v>
      </c>
      <c r="N40" s="4">
        <f>E40*32%</f>
        <v>1.6</v>
      </c>
      <c r="O40" s="4">
        <f>E40*12%</f>
        <v>0.6</v>
      </c>
      <c r="P40" s="4">
        <f>E40*0.7%</f>
        <v>3.4999999999999996E-2</v>
      </c>
      <c r="Q40" s="4">
        <v>150</v>
      </c>
      <c r="R40" s="4">
        <f>C40/1000*150</f>
        <v>0.75</v>
      </c>
    </row>
    <row r="41" spans="1:18" ht="19.5" customHeight="1">
      <c r="A41" s="33"/>
      <c r="B41" s="1" t="s">
        <v>14</v>
      </c>
      <c r="C41" s="81">
        <v>28</v>
      </c>
      <c r="D41" s="4">
        <f>C41*0.2</f>
        <v>5.6000000000000005</v>
      </c>
      <c r="E41" s="4">
        <f>C41-D41</f>
        <v>22.4</v>
      </c>
      <c r="F41" s="4">
        <f>E41*1.3%</f>
        <v>0.29120000000000001</v>
      </c>
      <c r="G41" s="6">
        <f>E41*0.001</f>
        <v>2.24E-2</v>
      </c>
      <c r="H41" s="4">
        <f>E41*0.072</f>
        <v>1.6127999999999998</v>
      </c>
      <c r="I41" s="4">
        <f>E41*0.3</f>
        <v>6.72</v>
      </c>
      <c r="J41" s="4">
        <f>E41*0.06%</f>
        <v>1.3439999999999999E-2</v>
      </c>
      <c r="K41" s="4">
        <f>E41*5%</f>
        <v>1.1199999999999999</v>
      </c>
      <c r="L41" s="4">
        <v>0</v>
      </c>
      <c r="M41" s="4">
        <f>E41*51%</f>
        <v>11.423999999999999</v>
      </c>
      <c r="N41" s="4">
        <f>E41*55%</f>
        <v>12.32</v>
      </c>
      <c r="O41" s="4">
        <f>E41*38%</f>
        <v>8.5119999999999987</v>
      </c>
      <c r="P41" s="4">
        <f>E41*0.7%</f>
        <v>0.15679999999999997</v>
      </c>
      <c r="Q41" s="4">
        <v>60</v>
      </c>
      <c r="R41" s="3">
        <f>C41/1000*60</f>
        <v>1.68</v>
      </c>
    </row>
    <row r="42" spans="1:18" ht="23.25" customHeight="1">
      <c r="A42" s="33"/>
      <c r="B42" s="1" t="s">
        <v>15</v>
      </c>
      <c r="C42" s="81">
        <v>50</v>
      </c>
      <c r="D42" s="4">
        <f>C42*0.2</f>
        <v>10</v>
      </c>
      <c r="E42" s="4">
        <f>C42-D42</f>
        <v>40</v>
      </c>
      <c r="F42" s="4">
        <f>E42*0.018</f>
        <v>0.72</v>
      </c>
      <c r="G42" s="6">
        <f>E42*0.001</f>
        <v>0.04</v>
      </c>
      <c r="H42" s="4">
        <f>E42*0.047</f>
        <v>1.88</v>
      </c>
      <c r="I42" s="4">
        <f>E42*0.27</f>
        <v>10.8</v>
      </c>
      <c r="J42" s="4">
        <f>E42*0.03%</f>
        <v>1.1999999999999999E-2</v>
      </c>
      <c r="K42" s="4">
        <f>E42*45%</f>
        <v>18</v>
      </c>
      <c r="L42" s="4">
        <v>0</v>
      </c>
      <c r="M42" s="4">
        <f>E42*48%</f>
        <v>19.2</v>
      </c>
      <c r="N42" s="4">
        <f>E42*31%</f>
        <v>12.4</v>
      </c>
      <c r="O42" s="4">
        <f>E42*16%</f>
        <v>6.4</v>
      </c>
      <c r="P42" s="4">
        <f>E42*0.6%</f>
        <v>0.24</v>
      </c>
      <c r="Q42" s="4">
        <v>50</v>
      </c>
      <c r="R42" s="3">
        <f>C42/1000*50</f>
        <v>2.5</v>
      </c>
    </row>
    <row r="43" spans="1:18" ht="18">
      <c r="A43" s="26"/>
      <c r="B43" s="1" t="s">
        <v>69</v>
      </c>
      <c r="C43" s="81">
        <v>50</v>
      </c>
      <c r="D43" s="4">
        <f>C43*0.2</f>
        <v>10</v>
      </c>
      <c r="E43" s="4">
        <f>C43-D43</f>
        <v>40</v>
      </c>
      <c r="F43" s="4">
        <f>E43*0.015</f>
        <v>0.6</v>
      </c>
      <c r="G43" s="4">
        <f>E43*0.001</f>
        <v>0.04</v>
      </c>
      <c r="H43" s="4">
        <f>E43*0.091</f>
        <v>3.6399999999999997</v>
      </c>
      <c r="I43" s="4">
        <f>E43*0.42</f>
        <v>16.8</v>
      </c>
      <c r="J43" s="4">
        <f>E43*0.02%</f>
        <v>8.0000000000000002E-3</v>
      </c>
      <c r="K43" s="4">
        <f>E43*10%</f>
        <v>4</v>
      </c>
      <c r="L43" s="4">
        <v>0</v>
      </c>
      <c r="M43" s="4">
        <f>E43*37%</f>
        <v>14.8</v>
      </c>
      <c r="N43" s="4">
        <f>E43*43%</f>
        <v>17.2</v>
      </c>
      <c r="O43" s="4">
        <f>E43*22%</f>
        <v>8.8000000000000007</v>
      </c>
      <c r="P43" s="4">
        <f>E43*1.4%</f>
        <v>0.55999999999999994</v>
      </c>
      <c r="Q43" s="4">
        <v>60</v>
      </c>
      <c r="R43" s="4">
        <f>C43/1000*60</f>
        <v>3</v>
      </c>
    </row>
    <row r="44" spans="1:18" ht="18">
      <c r="A44" s="33"/>
      <c r="B44" s="1" t="s">
        <v>16</v>
      </c>
      <c r="C44" s="81">
        <v>10</v>
      </c>
      <c r="D44" s="4">
        <v>0</v>
      </c>
      <c r="E44" s="4">
        <f>C44-D44</f>
        <v>10</v>
      </c>
      <c r="F44" s="4">
        <v>0</v>
      </c>
      <c r="G44" s="6">
        <f>E44*0.999</f>
        <v>9.99</v>
      </c>
      <c r="H44" s="4">
        <v>0</v>
      </c>
      <c r="I44" s="4">
        <f>E44*8.99</f>
        <v>89.9</v>
      </c>
      <c r="J44" s="4">
        <f>E44*0.06%</f>
        <v>5.9999999999999993E-3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150</v>
      </c>
      <c r="R44" s="4">
        <f>C44/1000*150</f>
        <v>1.5</v>
      </c>
    </row>
    <row r="45" spans="1:18" ht="18">
      <c r="A45" s="33"/>
      <c r="B45" s="3" t="s">
        <v>70</v>
      </c>
      <c r="C45" s="81">
        <v>40</v>
      </c>
      <c r="D45" s="4">
        <f>C45*20%</f>
        <v>8</v>
      </c>
      <c r="E45" s="4">
        <f>C45-D45</f>
        <v>32</v>
      </c>
      <c r="F45" s="4">
        <f>E45*2%</f>
        <v>0.64</v>
      </c>
      <c r="G45" s="4">
        <f>E45*0.4%</f>
        <v>0.128</v>
      </c>
      <c r="H45" s="4">
        <f>E45*16.3%</f>
        <v>5.2160000000000002</v>
      </c>
      <c r="I45" s="4">
        <f>E45*80%</f>
        <v>25.6</v>
      </c>
      <c r="J45" s="4">
        <f>E45*0.12%</f>
        <v>3.8399999999999997E-2</v>
      </c>
      <c r="K45" s="4">
        <f>E45*20%</f>
        <v>6.4</v>
      </c>
      <c r="L45" s="4">
        <v>0</v>
      </c>
      <c r="M45" s="4">
        <f>E45*10%</f>
        <v>3.2</v>
      </c>
      <c r="N45" s="4">
        <f>E45*58%</f>
        <v>18.559999999999999</v>
      </c>
      <c r="O45" s="4">
        <f>E45*23%</f>
        <v>7.36</v>
      </c>
      <c r="P45" s="4">
        <f>E45*0.9%</f>
        <v>0.28800000000000003</v>
      </c>
      <c r="Q45" s="4">
        <v>57</v>
      </c>
      <c r="R45" s="4">
        <f>C45/1000*57</f>
        <v>2.2800000000000002</v>
      </c>
    </row>
    <row r="46" spans="1:18" ht="18">
      <c r="A46" s="33"/>
      <c r="B46" s="26" t="s">
        <v>68</v>
      </c>
      <c r="C46" s="82">
        <f>C45+C44+C43+C42+C41+C40</f>
        <v>183</v>
      </c>
      <c r="D46" s="7">
        <f>SUM(D43:D45)</f>
        <v>18</v>
      </c>
      <c r="E46" s="7">
        <v>250</v>
      </c>
      <c r="F46" s="7">
        <f t="shared" ref="F46:P46" si="4">SUM(F43:F45)</f>
        <v>1.24</v>
      </c>
      <c r="G46" s="7">
        <f t="shared" si="4"/>
        <v>10.157999999999999</v>
      </c>
      <c r="H46" s="7">
        <f t="shared" si="4"/>
        <v>8.8559999999999999</v>
      </c>
      <c r="I46" s="7">
        <f t="shared" si="4"/>
        <v>132.30000000000001</v>
      </c>
      <c r="J46" s="7">
        <f t="shared" si="4"/>
        <v>5.2399999999999995E-2</v>
      </c>
      <c r="K46" s="7">
        <f t="shared" si="4"/>
        <v>10.4</v>
      </c>
      <c r="L46" s="7">
        <f t="shared" si="4"/>
        <v>0</v>
      </c>
      <c r="M46" s="7">
        <f t="shared" si="4"/>
        <v>18</v>
      </c>
      <c r="N46" s="7">
        <f t="shared" si="4"/>
        <v>35.76</v>
      </c>
      <c r="O46" s="7">
        <f t="shared" si="4"/>
        <v>16.16</v>
      </c>
      <c r="P46" s="7">
        <f t="shared" si="4"/>
        <v>0.84799999999999998</v>
      </c>
      <c r="Q46" s="7"/>
      <c r="R46" s="7">
        <f>SUM(R39:R45)</f>
        <v>12.510000000000002</v>
      </c>
    </row>
    <row r="47" spans="1:18" ht="18">
      <c r="A47" s="33"/>
      <c r="B47" s="206" t="s">
        <v>92</v>
      </c>
      <c r="C47" s="207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6"/>
    </row>
    <row r="48" spans="1:18" ht="18">
      <c r="A48" s="33"/>
      <c r="B48" s="31" t="s">
        <v>68</v>
      </c>
      <c r="C48" s="7">
        <v>50</v>
      </c>
      <c r="D48" s="7">
        <v>0</v>
      </c>
      <c r="E48" s="7">
        <v>50</v>
      </c>
      <c r="F48" s="7">
        <f>E48*7.9%</f>
        <v>3.95</v>
      </c>
      <c r="G48" s="7">
        <f>E48*1%</f>
        <v>0.5</v>
      </c>
      <c r="H48" s="7">
        <f>E48*48.1%</f>
        <v>24.05</v>
      </c>
      <c r="I48" s="7">
        <f>E48*239%</f>
        <v>119.5</v>
      </c>
      <c r="J48" s="7">
        <f>E48*0.16%</f>
        <v>0.08</v>
      </c>
      <c r="K48" s="7">
        <v>0</v>
      </c>
      <c r="L48" s="7">
        <v>0</v>
      </c>
      <c r="M48" s="7">
        <f>E48*23%</f>
        <v>11.5</v>
      </c>
      <c r="N48" s="7">
        <f>E48*87%</f>
        <v>43.5</v>
      </c>
      <c r="O48" s="7">
        <f>E48*33%</f>
        <v>16.5</v>
      </c>
      <c r="P48" s="7">
        <f>E48*2%</f>
        <v>1</v>
      </c>
      <c r="Q48" s="7">
        <v>50</v>
      </c>
      <c r="R48" s="7">
        <f>C48/1000*50</f>
        <v>2.5</v>
      </c>
    </row>
    <row r="49" spans="1:18" s="76" customFormat="1" ht="21">
      <c r="A49" s="75"/>
      <c r="B49" s="208" t="s">
        <v>93</v>
      </c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10"/>
    </row>
    <row r="50" spans="1:18" ht="18">
      <c r="A50" s="33"/>
      <c r="B50" s="4" t="s">
        <v>51</v>
      </c>
      <c r="C50" s="4">
        <v>1</v>
      </c>
      <c r="D50" s="4">
        <v>0</v>
      </c>
      <c r="E50" s="4">
        <f>C50-D50</f>
        <v>1</v>
      </c>
      <c r="F50" s="4">
        <f>E50*21.74%</f>
        <v>0.21739999999999998</v>
      </c>
      <c r="G50" s="4">
        <f>E50*7.61%</f>
        <v>7.6100000000000001E-2</v>
      </c>
      <c r="H50" s="4">
        <f>E50*2.86%</f>
        <v>2.86E-2</v>
      </c>
      <c r="I50" s="4">
        <f>E50*9.18%</f>
        <v>9.1799999999999993E-2</v>
      </c>
      <c r="J50" s="4">
        <f>E50*4.7%</f>
        <v>4.7E-2</v>
      </c>
      <c r="K50" s="4">
        <f>E50*11%</f>
        <v>0.11</v>
      </c>
      <c r="L50" s="4">
        <f>E50*5.6%</f>
        <v>5.5999999999999994E-2</v>
      </c>
      <c r="M50" s="4">
        <f>E50*50%</f>
        <v>0.5</v>
      </c>
      <c r="N50" s="4">
        <f>E50*10%</f>
        <v>0.1</v>
      </c>
      <c r="O50" s="4">
        <f>E50*110%</f>
        <v>1.1000000000000001</v>
      </c>
      <c r="P50" s="4">
        <f>E50*456%</f>
        <v>4.5599999999999996</v>
      </c>
      <c r="Q50" s="4">
        <v>950</v>
      </c>
      <c r="R50" s="4">
        <f>C50/1000*950</f>
        <v>0.95000000000000007</v>
      </c>
    </row>
    <row r="51" spans="1:18" ht="18">
      <c r="A51" s="36"/>
      <c r="B51" s="4" t="s">
        <v>67</v>
      </c>
      <c r="C51" s="4">
        <v>15</v>
      </c>
      <c r="D51" s="4">
        <v>0</v>
      </c>
      <c r="E51" s="4">
        <v>15</v>
      </c>
      <c r="F51" s="4">
        <v>0</v>
      </c>
      <c r="G51" s="4">
        <v>0</v>
      </c>
      <c r="H51" s="4">
        <f>E51*99.8%</f>
        <v>14.97</v>
      </c>
      <c r="I51" s="4">
        <f>E51*379%</f>
        <v>56.85</v>
      </c>
      <c r="J51" s="4">
        <v>0</v>
      </c>
      <c r="K51" s="4">
        <v>0</v>
      </c>
      <c r="L51" s="4">
        <v>0</v>
      </c>
      <c r="M51" s="4">
        <f>E51*2%</f>
        <v>0.3</v>
      </c>
      <c r="N51" s="4">
        <v>0</v>
      </c>
      <c r="O51" s="4">
        <v>0</v>
      </c>
      <c r="P51" s="4">
        <f>E51*0.3%</f>
        <v>4.4999999999999998E-2</v>
      </c>
      <c r="Q51" s="4">
        <v>60</v>
      </c>
      <c r="R51" s="4">
        <f>C51/1000*60</f>
        <v>0.89999999999999991</v>
      </c>
    </row>
    <row r="52" spans="1:18" ht="18">
      <c r="A52" s="36"/>
      <c r="B52" s="31" t="s">
        <v>68</v>
      </c>
      <c r="C52" s="7">
        <f>SUM(C50:C51)</f>
        <v>16</v>
      </c>
      <c r="D52" s="7">
        <f>SUM(D51:D51)</f>
        <v>0</v>
      </c>
      <c r="E52" s="7">
        <v>150</v>
      </c>
      <c r="F52" s="7">
        <f t="shared" ref="F52:P52" si="5">SUM(F51:F51)</f>
        <v>0</v>
      </c>
      <c r="G52" s="7">
        <f t="shared" si="5"/>
        <v>0</v>
      </c>
      <c r="H52" s="7">
        <f t="shared" si="5"/>
        <v>14.97</v>
      </c>
      <c r="I52" s="7">
        <f t="shared" si="5"/>
        <v>56.85</v>
      </c>
      <c r="J52" s="7">
        <f t="shared" si="5"/>
        <v>0</v>
      </c>
      <c r="K52" s="7">
        <f t="shared" si="5"/>
        <v>0</v>
      </c>
      <c r="L52" s="7">
        <f t="shared" si="5"/>
        <v>0</v>
      </c>
      <c r="M52" s="7">
        <f t="shared" si="5"/>
        <v>0.3</v>
      </c>
      <c r="N52" s="7">
        <f t="shared" si="5"/>
        <v>0</v>
      </c>
      <c r="O52" s="7">
        <f t="shared" si="5"/>
        <v>0</v>
      </c>
      <c r="P52" s="7">
        <f t="shared" si="5"/>
        <v>4.4999999999999998E-2</v>
      </c>
      <c r="Q52" s="7"/>
      <c r="R52" s="7">
        <f>SUM(R50:R51)</f>
        <v>1.85</v>
      </c>
    </row>
    <row r="53" spans="1:18" ht="18">
      <c r="A53" s="33"/>
      <c r="B53" s="211" t="s">
        <v>100</v>
      </c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2"/>
    </row>
    <row r="54" spans="1:18" ht="18">
      <c r="A54" s="33"/>
      <c r="B54" s="31" t="s">
        <v>68</v>
      </c>
      <c r="C54" s="7">
        <v>150</v>
      </c>
      <c r="D54" s="7">
        <v>0</v>
      </c>
      <c r="E54" s="7">
        <f>C54-D54</f>
        <v>150</v>
      </c>
      <c r="F54" s="7">
        <f>E54*0.4%</f>
        <v>0.6</v>
      </c>
      <c r="G54" s="7">
        <f>E54*0.4%</f>
        <v>0.6</v>
      </c>
      <c r="H54" s="7">
        <f>E54*9.8%</f>
        <v>14.700000000000001</v>
      </c>
      <c r="I54" s="7">
        <f>E54*45%</f>
        <v>67.5</v>
      </c>
      <c r="J54" s="7">
        <f>E54*0.03%</f>
        <v>4.4999999999999998E-2</v>
      </c>
      <c r="K54" s="7">
        <f>E54*13%</f>
        <v>19.5</v>
      </c>
      <c r="L54" s="7">
        <v>0</v>
      </c>
      <c r="M54" s="7">
        <f>E54*16%</f>
        <v>24</v>
      </c>
      <c r="N54" s="7">
        <f>E54*11%</f>
        <v>16.5</v>
      </c>
      <c r="O54" s="7">
        <f>E54*9%</f>
        <v>13.5</v>
      </c>
      <c r="P54" s="7">
        <f>E54*2.2%</f>
        <v>3.3000000000000003</v>
      </c>
      <c r="Q54" s="7">
        <v>78</v>
      </c>
      <c r="R54" s="7">
        <f>C54/1000*78</f>
        <v>11.7</v>
      </c>
    </row>
    <row r="55" spans="1:18" ht="21.75" customHeight="1">
      <c r="A55" s="36"/>
      <c r="B55" s="212" t="s">
        <v>94</v>
      </c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3"/>
    </row>
    <row r="56" spans="1:18" ht="19.5" customHeight="1">
      <c r="A56" s="36"/>
      <c r="B56" s="31" t="s">
        <v>68</v>
      </c>
      <c r="C56" s="27">
        <v>3</v>
      </c>
      <c r="D56" s="7">
        <v>0</v>
      </c>
      <c r="E56" s="27">
        <f>C56-D56</f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20</v>
      </c>
      <c r="R56" s="27">
        <f>C56/1000*20</f>
        <v>0.06</v>
      </c>
    </row>
    <row r="57" spans="1:18" ht="19.5" customHeight="1">
      <c r="A57" s="36"/>
      <c r="B57" s="31"/>
      <c r="C57" s="27"/>
      <c r="D57" s="7"/>
      <c r="E57" s="2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27"/>
    </row>
    <row r="58" spans="1:18" ht="25.5" customHeight="1">
      <c r="A58" s="36"/>
      <c r="B58" s="25" t="s">
        <v>68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>
        <f>R56+R54+R52+R48+R46+R37</f>
        <v>60.989999999999995</v>
      </c>
    </row>
    <row r="59" spans="1:18" s="265" customFormat="1" ht="38.25" customHeight="1">
      <c r="A59" s="266" t="s">
        <v>132</v>
      </c>
      <c r="B59" s="264"/>
      <c r="C59" s="264"/>
      <c r="D59" s="264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264"/>
      <c r="P59" s="264"/>
      <c r="Q59" s="264"/>
      <c r="R59" s="264"/>
    </row>
    <row r="60" spans="1:18" s="265" customFormat="1" ht="38.25" customHeight="1">
      <c r="A60" s="266"/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64"/>
      <c r="P60" s="264"/>
      <c r="Q60" s="264"/>
      <c r="R60" s="264"/>
    </row>
    <row r="61" spans="1:18" ht="18">
      <c r="A61" s="36"/>
      <c r="B61" s="135" t="s">
        <v>0</v>
      </c>
      <c r="C61" s="136" t="s">
        <v>17</v>
      </c>
      <c r="D61" s="139" t="s">
        <v>19</v>
      </c>
      <c r="E61" s="139" t="s">
        <v>18</v>
      </c>
      <c r="F61" s="142" t="s">
        <v>1</v>
      </c>
      <c r="G61" s="142" t="s">
        <v>2</v>
      </c>
      <c r="H61" s="142" t="s">
        <v>3</v>
      </c>
      <c r="I61" s="142" t="s">
        <v>4</v>
      </c>
      <c r="J61" s="145" t="s">
        <v>5</v>
      </c>
      <c r="K61" s="145"/>
      <c r="L61" s="145"/>
      <c r="M61" s="145" t="s">
        <v>6</v>
      </c>
      <c r="N61" s="145"/>
      <c r="O61" s="145"/>
      <c r="P61" s="145"/>
      <c r="Q61" s="146" t="s">
        <v>65</v>
      </c>
      <c r="R61" s="149" t="s">
        <v>102</v>
      </c>
    </row>
    <row r="62" spans="1:18" ht="18">
      <c r="A62" s="36"/>
      <c r="B62" s="135"/>
      <c r="C62" s="137"/>
      <c r="D62" s="140"/>
      <c r="E62" s="140"/>
      <c r="F62" s="143"/>
      <c r="G62" s="143"/>
      <c r="H62" s="143"/>
      <c r="I62" s="143"/>
      <c r="J62" s="142" t="s">
        <v>7</v>
      </c>
      <c r="K62" s="152" t="s">
        <v>8</v>
      </c>
      <c r="L62" s="142" t="s">
        <v>9</v>
      </c>
      <c r="M62" s="142" t="s">
        <v>10</v>
      </c>
      <c r="N62" s="142" t="s">
        <v>11</v>
      </c>
      <c r="O62" s="142" t="s">
        <v>12</v>
      </c>
      <c r="P62" s="142" t="s">
        <v>13</v>
      </c>
      <c r="Q62" s="147"/>
      <c r="R62" s="150"/>
    </row>
    <row r="63" spans="1:18" ht="20.399999999999999">
      <c r="A63" s="36"/>
      <c r="B63" s="2"/>
      <c r="C63" s="138"/>
      <c r="D63" s="141"/>
      <c r="E63" s="141"/>
      <c r="F63" s="144"/>
      <c r="G63" s="144"/>
      <c r="H63" s="144"/>
      <c r="I63" s="144"/>
      <c r="J63" s="144"/>
      <c r="K63" s="153"/>
      <c r="L63" s="144"/>
      <c r="M63" s="144"/>
      <c r="N63" s="144"/>
      <c r="O63" s="144"/>
      <c r="P63" s="144"/>
      <c r="Q63" s="148"/>
      <c r="R63" s="151"/>
    </row>
    <row r="64" spans="1:18" s="79" customFormat="1" ht="21">
      <c r="A64" s="127" t="s">
        <v>91</v>
      </c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9"/>
    </row>
    <row r="65" spans="1:18" ht="18">
      <c r="A65" s="36"/>
      <c r="B65" s="3" t="s">
        <v>70</v>
      </c>
      <c r="C65" s="4">
        <v>160</v>
      </c>
      <c r="D65" s="4">
        <f>C65*0.25</f>
        <v>40</v>
      </c>
      <c r="E65" s="4">
        <f>C65-D65</f>
        <v>120</v>
      </c>
      <c r="F65" s="4">
        <f>E65*2%</f>
        <v>2.4</v>
      </c>
      <c r="G65" s="4">
        <f>E65*0.4%</f>
        <v>0.48</v>
      </c>
      <c r="H65" s="4">
        <f>E65*16.3%</f>
        <v>19.560000000000002</v>
      </c>
      <c r="I65" s="4">
        <f>E65*80%</f>
        <v>96</v>
      </c>
      <c r="J65" s="4">
        <f>E65*0.12%</f>
        <v>0.14399999999999999</v>
      </c>
      <c r="K65" s="4">
        <f>E65*20%</f>
        <v>24</v>
      </c>
      <c r="L65" s="4">
        <v>0</v>
      </c>
      <c r="M65" s="4">
        <f>E65*10%</f>
        <v>12</v>
      </c>
      <c r="N65" s="4">
        <f>E65*58%</f>
        <v>69.599999999999994</v>
      </c>
      <c r="O65" s="4">
        <f>E65*23%</f>
        <v>27.6</v>
      </c>
      <c r="P65" s="4">
        <f>E65*0.9%</f>
        <v>1.08</v>
      </c>
      <c r="Q65" s="4">
        <v>50</v>
      </c>
      <c r="R65" s="4">
        <v>8</v>
      </c>
    </row>
    <row r="66" spans="1:18" ht="18">
      <c r="A66" s="36"/>
      <c r="B66" s="3" t="s">
        <v>21</v>
      </c>
      <c r="C66" s="4">
        <v>15</v>
      </c>
      <c r="D66" s="4">
        <v>0</v>
      </c>
      <c r="E66" s="4">
        <f>C66-D66</f>
        <v>15</v>
      </c>
      <c r="F66" s="4">
        <f>E66*0.5%</f>
        <v>7.4999999999999997E-2</v>
      </c>
      <c r="G66" s="4">
        <f>E66*82.5%</f>
        <v>12.375</v>
      </c>
      <c r="H66" s="4">
        <f>E66*0.8%</f>
        <v>0.12</v>
      </c>
      <c r="I66" s="4">
        <f>E66*748%</f>
        <v>112.2</v>
      </c>
      <c r="J66" s="4">
        <v>0</v>
      </c>
      <c r="K66" s="4">
        <v>0</v>
      </c>
      <c r="L66" s="4">
        <f>E66*0.59%</f>
        <v>8.8499999999999995E-2</v>
      </c>
      <c r="M66" s="4">
        <f>E66*12%</f>
        <v>1.7999999999999998</v>
      </c>
      <c r="N66" s="4">
        <f>E66*19%</f>
        <v>2.85</v>
      </c>
      <c r="O66" s="4">
        <f>E66*0.4%</f>
        <v>0.06</v>
      </c>
      <c r="P66" s="4">
        <f>E66*0.2%</f>
        <v>0.03</v>
      </c>
      <c r="Q66" s="4">
        <v>635</v>
      </c>
      <c r="R66" s="24">
        <v>9.5299999999999994</v>
      </c>
    </row>
    <row r="67" spans="1:18" ht="18">
      <c r="A67" s="36"/>
      <c r="B67" s="30" t="s">
        <v>68</v>
      </c>
      <c r="C67" s="7">
        <f t="shared" ref="C67:P67" si="6">SUM(C65:C66)</f>
        <v>175</v>
      </c>
      <c r="D67" s="7">
        <f t="shared" si="6"/>
        <v>40</v>
      </c>
      <c r="E67" s="7">
        <f t="shared" si="6"/>
        <v>135</v>
      </c>
      <c r="F67" s="7">
        <f t="shared" si="6"/>
        <v>2.4750000000000001</v>
      </c>
      <c r="G67" s="7">
        <f t="shared" si="6"/>
        <v>12.855</v>
      </c>
      <c r="H67" s="7">
        <f t="shared" si="6"/>
        <v>19.680000000000003</v>
      </c>
      <c r="I67" s="7">
        <f t="shared" si="6"/>
        <v>208.2</v>
      </c>
      <c r="J67" s="7">
        <f t="shared" si="6"/>
        <v>0.14399999999999999</v>
      </c>
      <c r="K67" s="7">
        <f t="shared" si="6"/>
        <v>24</v>
      </c>
      <c r="L67" s="7">
        <f t="shared" si="6"/>
        <v>8.8499999999999995E-2</v>
      </c>
      <c r="M67" s="7">
        <f t="shared" si="6"/>
        <v>13.8</v>
      </c>
      <c r="N67" s="7">
        <f t="shared" si="6"/>
        <v>72.449999999999989</v>
      </c>
      <c r="O67" s="7">
        <f t="shared" si="6"/>
        <v>27.66</v>
      </c>
      <c r="P67" s="7">
        <f t="shared" si="6"/>
        <v>1.1100000000000001</v>
      </c>
      <c r="Q67" s="7"/>
      <c r="R67" s="7">
        <f>SUM(R65:R66)</f>
        <v>17.53</v>
      </c>
    </row>
    <row r="68" spans="1:18" ht="21">
      <c r="A68" s="36"/>
      <c r="B68" s="154" t="s">
        <v>95</v>
      </c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6"/>
    </row>
    <row r="69" spans="1:18" ht="18">
      <c r="A69" s="36"/>
      <c r="B69" s="3" t="s">
        <v>72</v>
      </c>
      <c r="C69" s="4">
        <v>100</v>
      </c>
      <c r="D69" s="4">
        <f>C69*25%</f>
        <v>25</v>
      </c>
      <c r="E69" s="4">
        <f>C69-D69</f>
        <v>75</v>
      </c>
      <c r="F69" s="4">
        <f>E69*18.2%</f>
        <v>13.65</v>
      </c>
      <c r="G69" s="4">
        <f>E69*18.4%</f>
        <v>13.799999999999999</v>
      </c>
      <c r="H69" s="4">
        <f>E69*0.7%</f>
        <v>0.52499999999999991</v>
      </c>
      <c r="I69" s="4">
        <f>E69*241%</f>
        <v>180.75</v>
      </c>
      <c r="J69" s="4">
        <f>E69*0.07%</f>
        <v>5.2500000000000005E-2</v>
      </c>
      <c r="K69" s="4">
        <v>0</v>
      </c>
      <c r="L69" s="4">
        <f>E69*0.07%</f>
        <v>5.2500000000000005E-2</v>
      </c>
      <c r="M69" s="4">
        <f>E69*16%</f>
        <v>12</v>
      </c>
      <c r="N69" s="4">
        <f>E69*165%</f>
        <v>123.75</v>
      </c>
      <c r="O69" s="4">
        <f>E69*18%</f>
        <v>13.5</v>
      </c>
      <c r="P69" s="4">
        <f>E69*1.6%</f>
        <v>1.2</v>
      </c>
      <c r="Q69" s="4">
        <v>210</v>
      </c>
      <c r="R69" s="4">
        <v>21</v>
      </c>
    </row>
    <row r="70" spans="1:18" ht="18">
      <c r="A70" s="36"/>
      <c r="B70" s="31" t="s">
        <v>68</v>
      </c>
      <c r="C70" s="7">
        <f>SUM(C69:C69)</f>
        <v>100</v>
      </c>
      <c r="D70" s="7">
        <f>SUM(D69:D69)</f>
        <v>25</v>
      </c>
      <c r="E70" s="7">
        <f>C70-D70</f>
        <v>75</v>
      </c>
      <c r="F70" s="7">
        <f t="shared" ref="F70:P70" si="7">SUM(F69:F69)</f>
        <v>13.65</v>
      </c>
      <c r="G70" s="7">
        <f t="shared" si="7"/>
        <v>13.799999999999999</v>
      </c>
      <c r="H70" s="7">
        <f t="shared" si="7"/>
        <v>0.52499999999999991</v>
      </c>
      <c r="I70" s="7">
        <f t="shared" si="7"/>
        <v>180.75</v>
      </c>
      <c r="J70" s="7">
        <f t="shared" si="7"/>
        <v>5.2500000000000005E-2</v>
      </c>
      <c r="K70" s="7">
        <f t="shared" si="7"/>
        <v>0</v>
      </c>
      <c r="L70" s="7">
        <f t="shared" si="7"/>
        <v>5.2500000000000005E-2</v>
      </c>
      <c r="M70" s="7">
        <f t="shared" si="7"/>
        <v>12</v>
      </c>
      <c r="N70" s="7">
        <f t="shared" si="7"/>
        <v>123.75</v>
      </c>
      <c r="O70" s="7">
        <f t="shared" si="7"/>
        <v>13.5</v>
      </c>
      <c r="P70" s="7">
        <f t="shared" si="7"/>
        <v>1.2</v>
      </c>
      <c r="Q70" s="7"/>
      <c r="R70" s="7">
        <f t="shared" ref="R70" si="8">SUM(R69:R69)</f>
        <v>21</v>
      </c>
    </row>
    <row r="71" spans="1:18" ht="21">
      <c r="A71" s="36"/>
      <c r="B71" s="130" t="s">
        <v>92</v>
      </c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2"/>
    </row>
    <row r="72" spans="1:18" ht="18">
      <c r="A72" s="36"/>
      <c r="B72" s="31" t="s">
        <v>68</v>
      </c>
      <c r="C72" s="7">
        <v>50</v>
      </c>
      <c r="D72" s="7">
        <v>0</v>
      </c>
      <c r="E72" s="7">
        <v>50</v>
      </c>
      <c r="F72" s="7">
        <f>E72*7.9%</f>
        <v>3.95</v>
      </c>
      <c r="G72" s="7">
        <f>E72*1%</f>
        <v>0.5</v>
      </c>
      <c r="H72" s="7">
        <f>E72*48.1%</f>
        <v>24.05</v>
      </c>
      <c r="I72" s="7">
        <f>E72*239%</f>
        <v>119.5</v>
      </c>
      <c r="J72" s="7">
        <f>E72*0.16%</f>
        <v>0.08</v>
      </c>
      <c r="K72" s="7">
        <v>0</v>
      </c>
      <c r="L72" s="7">
        <v>0</v>
      </c>
      <c r="M72" s="7">
        <f>E72*23%</f>
        <v>11.5</v>
      </c>
      <c r="N72" s="7">
        <f>E72*87%</f>
        <v>43.5</v>
      </c>
      <c r="O72" s="7">
        <f>E72*33%</f>
        <v>16.5</v>
      </c>
      <c r="P72" s="7">
        <f>E72*2%</f>
        <v>1</v>
      </c>
      <c r="Q72" s="7">
        <v>50</v>
      </c>
      <c r="R72" s="7">
        <f>C72/1000*50</f>
        <v>2.5</v>
      </c>
    </row>
    <row r="73" spans="1:18" ht="21">
      <c r="A73" s="33"/>
      <c r="B73" s="130" t="s">
        <v>152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4"/>
    </row>
    <row r="74" spans="1:18" ht="18">
      <c r="A74" s="33"/>
      <c r="B74" s="4"/>
      <c r="C74" s="4">
        <v>100</v>
      </c>
      <c r="D74" s="4">
        <v>0</v>
      </c>
      <c r="E74" s="4">
        <v>15</v>
      </c>
      <c r="F74" s="4">
        <v>0.78</v>
      </c>
      <c r="G74" s="4">
        <v>0</v>
      </c>
      <c r="H74" s="4">
        <v>8.25</v>
      </c>
      <c r="I74" s="4">
        <v>35.1</v>
      </c>
      <c r="J74" s="4">
        <v>0.02</v>
      </c>
      <c r="K74" s="4">
        <v>0.6</v>
      </c>
      <c r="L74" s="4">
        <v>0</v>
      </c>
      <c r="M74" s="4">
        <v>0.24</v>
      </c>
      <c r="N74" s="4">
        <v>21.9</v>
      </c>
      <c r="O74" s="4">
        <v>15.75</v>
      </c>
      <c r="P74" s="4">
        <v>0.48</v>
      </c>
      <c r="Q74" s="4">
        <v>70</v>
      </c>
      <c r="R74" s="4">
        <v>7</v>
      </c>
    </row>
    <row r="75" spans="1:18" ht="18">
      <c r="A75" s="33"/>
      <c r="B75" s="31" t="s">
        <v>68</v>
      </c>
      <c r="C75" s="7">
        <v>100</v>
      </c>
      <c r="D75" s="7">
        <f>SUM(D74:D74)</f>
        <v>0</v>
      </c>
      <c r="E75" s="7">
        <v>15</v>
      </c>
      <c r="F75" s="7">
        <v>0.78</v>
      </c>
      <c r="G75" s="7">
        <f>SUM(G74:G74)</f>
        <v>0</v>
      </c>
      <c r="H75" s="7">
        <v>8.25</v>
      </c>
      <c r="I75" s="7">
        <f>SUM(I74:I74)</f>
        <v>35.1</v>
      </c>
      <c r="J75" s="7">
        <f>SUM(J74:J74)</f>
        <v>0.02</v>
      </c>
      <c r="K75" s="7">
        <f>SUM(K74:K74)</f>
        <v>0.6</v>
      </c>
      <c r="L75" s="7">
        <f>SUM(L74:L74)</f>
        <v>0</v>
      </c>
      <c r="M75" s="7">
        <f>SUM(M74:M74)</f>
        <v>0.24</v>
      </c>
      <c r="N75" s="7">
        <v>21.9</v>
      </c>
      <c r="O75" s="7">
        <f>SUM(O74:O74)</f>
        <v>15.75</v>
      </c>
      <c r="P75" s="7">
        <f>SUM(P74:P74)</f>
        <v>0.48</v>
      </c>
      <c r="Q75" s="7"/>
      <c r="R75" s="7">
        <f>SUM(R74:R74)</f>
        <v>7</v>
      </c>
    </row>
    <row r="76" spans="1:18" ht="21">
      <c r="A76" s="36"/>
      <c r="B76" s="130" t="s">
        <v>153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4"/>
    </row>
    <row r="77" spans="1:18" ht="18">
      <c r="A77" s="36"/>
      <c r="B77" s="31" t="s">
        <v>68</v>
      </c>
      <c r="C77" s="7">
        <v>130</v>
      </c>
      <c r="D77" s="7">
        <v>0</v>
      </c>
      <c r="E77" s="7">
        <v>130</v>
      </c>
      <c r="F77" s="7">
        <v>0.52</v>
      </c>
      <c r="G77" s="7">
        <v>0.52</v>
      </c>
      <c r="H77" s="7">
        <v>12.74</v>
      </c>
      <c r="I77" s="7">
        <v>58.5</v>
      </c>
      <c r="J77" s="7">
        <v>0.04</v>
      </c>
      <c r="K77" s="7">
        <v>16.899999999999999</v>
      </c>
      <c r="L77" s="7">
        <v>0</v>
      </c>
      <c r="M77" s="7">
        <v>20.8</v>
      </c>
      <c r="N77" s="7">
        <v>14.3</v>
      </c>
      <c r="O77" s="7">
        <f>E77*9%</f>
        <v>11.7</v>
      </c>
      <c r="P77" s="7">
        <v>2.86</v>
      </c>
      <c r="Q77" s="7">
        <v>100</v>
      </c>
      <c r="R77" s="7">
        <v>13</v>
      </c>
    </row>
    <row r="78" spans="1:18" ht="21">
      <c r="A78" s="36"/>
      <c r="B78" s="121" t="s">
        <v>94</v>
      </c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3"/>
    </row>
    <row r="79" spans="1:18" ht="18">
      <c r="A79" s="36"/>
      <c r="B79" s="31" t="s">
        <v>68</v>
      </c>
      <c r="C79" s="27">
        <v>3</v>
      </c>
      <c r="D79" s="7">
        <v>0</v>
      </c>
      <c r="E79" s="27">
        <f>C79-D79</f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20</v>
      </c>
      <c r="R79" s="27">
        <f>C79/1000*20</f>
        <v>0.06</v>
      </c>
    </row>
    <row r="80" spans="1:18" ht="18">
      <c r="A80" s="36"/>
      <c r="B80" s="31"/>
      <c r="C80" s="27"/>
      <c r="D80" s="7"/>
      <c r="E80" s="2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27"/>
    </row>
    <row r="81" spans="1:18" ht="23.4">
      <c r="A81" s="36"/>
      <c r="B81" s="47" t="s">
        <v>68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25">
        <f>R79+R77+R75+R72+R70+R67</f>
        <v>61.09</v>
      </c>
    </row>
    <row r="82" spans="1:18" s="264" customFormat="1" ht="23.25" customHeight="1">
      <c r="A82" s="264" t="s">
        <v>133</v>
      </c>
    </row>
    <row r="83" spans="1:18" s="264" customFormat="1" ht="23.25" customHeight="1"/>
    <row r="84" spans="1:18" s="264" customFormat="1" ht="15.75" customHeight="1"/>
    <row r="85" spans="1:18" ht="18.75" customHeight="1">
      <c r="A85" s="168"/>
      <c r="B85" s="170" t="s">
        <v>0</v>
      </c>
      <c r="C85" s="172" t="s">
        <v>84</v>
      </c>
      <c r="D85" s="166" t="s">
        <v>19</v>
      </c>
      <c r="E85" s="166" t="s">
        <v>18</v>
      </c>
      <c r="F85" s="164" t="s">
        <v>1</v>
      </c>
      <c r="G85" s="164" t="s">
        <v>2</v>
      </c>
      <c r="H85" s="177" t="s">
        <v>3</v>
      </c>
      <c r="I85" s="164" t="s">
        <v>4</v>
      </c>
      <c r="J85" s="197" t="s">
        <v>5</v>
      </c>
      <c r="K85" s="198"/>
      <c r="L85" s="199"/>
      <c r="M85" s="197" t="s">
        <v>6</v>
      </c>
      <c r="N85" s="198"/>
      <c r="O85" s="198"/>
      <c r="P85" s="199"/>
      <c r="Q85" s="164" t="s">
        <v>65</v>
      </c>
      <c r="R85" s="200" t="s">
        <v>101</v>
      </c>
    </row>
    <row r="86" spans="1:18" ht="27.75" customHeight="1">
      <c r="A86" s="169"/>
      <c r="B86" s="171"/>
      <c r="C86" s="173"/>
      <c r="D86" s="175"/>
      <c r="E86" s="175"/>
      <c r="F86" s="176"/>
      <c r="G86" s="176"/>
      <c r="H86" s="178"/>
      <c r="I86" s="176"/>
      <c r="J86" s="164" t="s">
        <v>7</v>
      </c>
      <c r="K86" s="166" t="s">
        <v>8</v>
      </c>
      <c r="L86" s="164" t="s">
        <v>9</v>
      </c>
      <c r="M86" s="164" t="s">
        <v>10</v>
      </c>
      <c r="N86" s="164" t="s">
        <v>11</v>
      </c>
      <c r="O86" s="164" t="s">
        <v>12</v>
      </c>
      <c r="P86" s="164" t="s">
        <v>13</v>
      </c>
      <c r="Q86" s="176"/>
      <c r="R86" s="201"/>
    </row>
    <row r="87" spans="1:18" ht="25.5" customHeight="1">
      <c r="A87" s="50"/>
      <c r="B87" s="51"/>
      <c r="C87" s="174"/>
      <c r="D87" s="167"/>
      <c r="E87" s="167"/>
      <c r="F87" s="165"/>
      <c r="G87" s="165"/>
      <c r="H87" s="179"/>
      <c r="I87" s="165"/>
      <c r="J87" s="165"/>
      <c r="K87" s="167"/>
      <c r="L87" s="165"/>
      <c r="M87" s="165"/>
      <c r="N87" s="165"/>
      <c r="O87" s="165"/>
      <c r="P87" s="165"/>
      <c r="Q87" s="165"/>
      <c r="R87" s="202"/>
    </row>
    <row r="88" spans="1:18" s="57" customFormat="1" ht="22.5" customHeight="1">
      <c r="A88" s="56"/>
      <c r="B88" s="154" t="s">
        <v>104</v>
      </c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</row>
    <row r="89" spans="1:18" s="57" customFormat="1" ht="22.5" customHeight="1">
      <c r="A89" s="56"/>
      <c r="B89" s="58" t="s">
        <v>76</v>
      </c>
      <c r="C89" s="59">
        <v>50</v>
      </c>
      <c r="D89" s="59">
        <v>0</v>
      </c>
      <c r="E89" s="59">
        <v>50</v>
      </c>
      <c r="F89" s="59">
        <f>E89*12.6%</f>
        <v>6.3</v>
      </c>
      <c r="G89" s="59">
        <f>E89*3.3%</f>
        <v>1.6500000000000001</v>
      </c>
      <c r="H89" s="59">
        <f>E89*62.1%</f>
        <v>31.05</v>
      </c>
      <c r="I89" s="59">
        <f>E89*335%</f>
        <v>167.5</v>
      </c>
      <c r="J89" s="59">
        <f>E89*0.43%</f>
        <v>0.215</v>
      </c>
      <c r="K89" s="59">
        <v>0</v>
      </c>
      <c r="L89" s="59">
        <v>0</v>
      </c>
      <c r="M89" s="59">
        <f>E89*20%</f>
        <v>10</v>
      </c>
      <c r="N89" s="59">
        <f>E89*298%</f>
        <v>149</v>
      </c>
      <c r="O89" s="59">
        <f>E89*200%</f>
        <v>100</v>
      </c>
      <c r="P89" s="59">
        <f>E89*6.7%</f>
        <v>3.35</v>
      </c>
      <c r="Q89" s="59">
        <v>67</v>
      </c>
      <c r="R89" s="60">
        <f>C89/1000*67</f>
        <v>3.35</v>
      </c>
    </row>
    <row r="90" spans="1:18" s="57" customFormat="1" ht="22.5" customHeight="1">
      <c r="A90" s="61"/>
      <c r="B90" s="58" t="s">
        <v>21</v>
      </c>
      <c r="C90" s="59">
        <v>10</v>
      </c>
      <c r="D90" s="59">
        <v>0</v>
      </c>
      <c r="E90" s="59">
        <f>C90-D90</f>
        <v>10</v>
      </c>
      <c r="F90" s="59">
        <f>E90*0.5%</f>
        <v>0.05</v>
      </c>
      <c r="G90" s="59">
        <f>E90*82.5%</f>
        <v>8.25</v>
      </c>
      <c r="H90" s="59">
        <f>E90*0.8%</f>
        <v>0.08</v>
      </c>
      <c r="I90" s="59">
        <f>E90*748%</f>
        <v>74.800000000000011</v>
      </c>
      <c r="J90" s="59">
        <v>0</v>
      </c>
      <c r="K90" s="59">
        <v>0</v>
      </c>
      <c r="L90" s="59">
        <f>E90*0.59%</f>
        <v>5.8999999999999997E-2</v>
      </c>
      <c r="M90" s="59">
        <f>E90*12%</f>
        <v>1.2</v>
      </c>
      <c r="N90" s="59">
        <f>E90*19%</f>
        <v>1.9</v>
      </c>
      <c r="O90" s="59">
        <f>E90*0.4%</f>
        <v>0.04</v>
      </c>
      <c r="P90" s="59">
        <f>E90*0.2%</f>
        <v>0.02</v>
      </c>
      <c r="Q90" s="59">
        <v>480</v>
      </c>
      <c r="R90" s="60">
        <f>C90/1000*480</f>
        <v>4.8</v>
      </c>
    </row>
    <row r="91" spans="1:18" s="66" customFormat="1" ht="22.5" customHeight="1">
      <c r="A91" s="67"/>
      <c r="B91" s="68" t="s">
        <v>68</v>
      </c>
      <c r="C91" s="65">
        <f>C90+C89</f>
        <v>60</v>
      </c>
      <c r="D91" s="65">
        <f>SUM(D89:D90)</f>
        <v>0</v>
      </c>
      <c r="E91" s="65">
        <v>150</v>
      </c>
      <c r="F91" s="65">
        <f t="shared" ref="F91:P91" si="9">SUM(F89:F90)</f>
        <v>6.35</v>
      </c>
      <c r="G91" s="65">
        <f t="shared" si="9"/>
        <v>9.9</v>
      </c>
      <c r="H91" s="65">
        <f t="shared" si="9"/>
        <v>31.13</v>
      </c>
      <c r="I91" s="65">
        <f t="shared" si="9"/>
        <v>242.3</v>
      </c>
      <c r="J91" s="65">
        <f t="shared" si="9"/>
        <v>0.215</v>
      </c>
      <c r="K91" s="65">
        <f t="shared" si="9"/>
        <v>0</v>
      </c>
      <c r="L91" s="65">
        <f t="shared" si="9"/>
        <v>5.8999999999999997E-2</v>
      </c>
      <c r="M91" s="65">
        <f t="shared" si="9"/>
        <v>11.2</v>
      </c>
      <c r="N91" s="65">
        <f t="shared" si="9"/>
        <v>150.9</v>
      </c>
      <c r="O91" s="65">
        <f t="shared" si="9"/>
        <v>100.04</v>
      </c>
      <c r="P91" s="65">
        <f t="shared" si="9"/>
        <v>3.37</v>
      </c>
      <c r="Q91" s="65"/>
      <c r="R91" s="65">
        <f>SUM(R89:R90)</f>
        <v>8.15</v>
      </c>
    </row>
    <row r="92" spans="1:18" ht="20.25" customHeight="1">
      <c r="A92" s="36"/>
      <c r="B92" s="158" t="s">
        <v>121</v>
      </c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60"/>
    </row>
    <row r="93" spans="1:18" s="90" customFormat="1" ht="22.5" customHeight="1">
      <c r="A93" s="88"/>
      <c r="B93" s="89" t="s">
        <v>109</v>
      </c>
      <c r="C93" s="62">
        <v>60</v>
      </c>
      <c r="D93" s="62">
        <f>C93*26.4%</f>
        <v>15.84</v>
      </c>
      <c r="E93" s="62">
        <f>SUM(C93-D93)</f>
        <v>44.16</v>
      </c>
      <c r="F93" s="62">
        <f>E93*18.6%</f>
        <v>8.2137600000000006</v>
      </c>
      <c r="G93" s="62">
        <f>E93*16%</f>
        <v>7.0655999999999999</v>
      </c>
      <c r="H93" s="62">
        <v>0</v>
      </c>
      <c r="I93" s="62">
        <f>E93*218%</f>
        <v>96.268799999999999</v>
      </c>
      <c r="J93" s="62">
        <f>E93*0.06%</f>
        <v>2.6495999999999995E-2</v>
      </c>
      <c r="K93" s="62">
        <v>0</v>
      </c>
      <c r="L93" s="62">
        <v>0</v>
      </c>
      <c r="M93" s="62">
        <f>E93*9%</f>
        <v>3.9743999999999997</v>
      </c>
      <c r="N93" s="62">
        <f>E93*188%</f>
        <v>83.020799999999994</v>
      </c>
      <c r="O93" s="62">
        <f>E93*22%</f>
        <v>9.7151999999999994</v>
      </c>
      <c r="P93" s="62">
        <f>E93*2.7%</f>
        <v>1.19232</v>
      </c>
      <c r="Q93" s="62">
        <v>475</v>
      </c>
      <c r="R93" s="62">
        <f>C93/1000*475</f>
        <v>28.5</v>
      </c>
    </row>
    <row r="94" spans="1:18" s="63" customFormat="1" ht="18">
      <c r="A94" s="88"/>
      <c r="B94" s="89" t="s">
        <v>14</v>
      </c>
      <c r="C94" s="62">
        <v>25</v>
      </c>
      <c r="D94" s="62">
        <v>5</v>
      </c>
      <c r="E94" s="62">
        <f>C94-D94</f>
        <v>20</v>
      </c>
      <c r="F94" s="62">
        <f>E94*1.3%</f>
        <v>0.26</v>
      </c>
      <c r="G94" s="62">
        <v>0</v>
      </c>
      <c r="H94" s="62">
        <f>E94*7.2%</f>
        <v>1.4400000000000002</v>
      </c>
      <c r="I94" s="62">
        <f>E94*30%</f>
        <v>6</v>
      </c>
      <c r="J94" s="62">
        <f>E94*0.06%</f>
        <v>1.1999999999999999E-2</v>
      </c>
      <c r="K94" s="62">
        <f>E94*5%</f>
        <v>1</v>
      </c>
      <c r="L94" s="62">
        <v>0</v>
      </c>
      <c r="M94" s="62">
        <f>E94*51%</f>
        <v>10.199999999999999</v>
      </c>
      <c r="N94" s="62">
        <f>E94*55%</f>
        <v>11</v>
      </c>
      <c r="O94" s="62">
        <f>E94*38%</f>
        <v>7.6</v>
      </c>
      <c r="P94" s="62">
        <f>E94*0.7%</f>
        <v>0.13999999999999999</v>
      </c>
      <c r="Q94" s="62">
        <v>60</v>
      </c>
      <c r="R94" s="62">
        <f>C94/1000*60</f>
        <v>1.5</v>
      </c>
    </row>
    <row r="95" spans="1:18" s="63" customFormat="1" ht="18">
      <c r="A95" s="88"/>
      <c r="B95" s="89" t="s">
        <v>71</v>
      </c>
      <c r="C95" s="62">
        <v>26</v>
      </c>
      <c r="D95" s="62">
        <f>C95*0.16</f>
        <v>4.16</v>
      </c>
      <c r="E95" s="62">
        <f>C95-D95</f>
        <v>21.84</v>
      </c>
      <c r="F95" s="62">
        <f>E95*1.4%</f>
        <v>0.30575999999999998</v>
      </c>
      <c r="G95" s="63">
        <v>0</v>
      </c>
      <c r="H95" s="62">
        <f>E95*9.1%</f>
        <v>1.9874399999999999</v>
      </c>
      <c r="I95" s="62">
        <f>E95*41%</f>
        <v>8.9543999999999997</v>
      </c>
      <c r="J95" s="62">
        <f>E95*0.05%</f>
        <v>1.0920000000000001E-2</v>
      </c>
      <c r="K95" s="62">
        <f>E95*10%</f>
        <v>2.1840000000000002</v>
      </c>
      <c r="L95" s="62">
        <v>0</v>
      </c>
      <c r="M95" s="62">
        <f>E95*31%</f>
        <v>6.7703999999999995</v>
      </c>
      <c r="N95" s="62">
        <f>E95*58%</f>
        <v>12.667199999999999</v>
      </c>
      <c r="O95" s="62">
        <f>E95*14%</f>
        <v>3.0576000000000003</v>
      </c>
      <c r="P95" s="62">
        <f>E95*0.8%</f>
        <v>0.17472000000000001</v>
      </c>
      <c r="Q95" s="62">
        <v>40</v>
      </c>
      <c r="R95" s="62">
        <f>C95/1000*40</f>
        <v>1.04</v>
      </c>
    </row>
    <row r="96" spans="1:18" s="63" customFormat="1" ht="18">
      <c r="A96" s="91"/>
      <c r="B96" s="98" t="s">
        <v>77</v>
      </c>
      <c r="C96" s="98">
        <v>10</v>
      </c>
      <c r="D96" s="98">
        <v>0</v>
      </c>
      <c r="E96" s="98">
        <f>C96-D96</f>
        <v>10</v>
      </c>
      <c r="F96" s="98">
        <f>E96*7.9%</f>
        <v>0.79</v>
      </c>
      <c r="G96" s="98">
        <f>E96*1%</f>
        <v>0.1</v>
      </c>
      <c r="H96" s="98">
        <f>E96*48.1%</f>
        <v>4.8100000000000005</v>
      </c>
      <c r="I96" s="98">
        <f>E96*239%</f>
        <v>23.900000000000002</v>
      </c>
      <c r="J96" s="98">
        <f>E96*0.16%</f>
        <v>1.6E-2</v>
      </c>
      <c r="K96" s="98">
        <v>0</v>
      </c>
      <c r="L96" s="98">
        <v>0</v>
      </c>
      <c r="M96" s="98">
        <f>E96*23%</f>
        <v>2.3000000000000003</v>
      </c>
      <c r="N96" s="98">
        <f>E96*87%</f>
        <v>8.6999999999999993</v>
      </c>
      <c r="O96" s="98">
        <f>E96*33%</f>
        <v>3.3000000000000003</v>
      </c>
      <c r="P96" s="98">
        <f>E96*2%</f>
        <v>0.2</v>
      </c>
      <c r="Q96" s="98">
        <v>30</v>
      </c>
      <c r="R96" s="98">
        <f>C96/1000*30</f>
        <v>0.3</v>
      </c>
    </row>
    <row r="97" spans="1:18" s="63" customFormat="1">
      <c r="A97" s="99"/>
      <c r="B97" s="54" t="s">
        <v>25</v>
      </c>
      <c r="C97" s="54">
        <v>5</v>
      </c>
      <c r="D97" s="54">
        <v>0</v>
      </c>
      <c r="E97" s="54">
        <f>SUM(C97:D97)</f>
        <v>5</v>
      </c>
      <c r="F97" s="54">
        <f>E97*1%</f>
        <v>0.05</v>
      </c>
      <c r="G97" s="54">
        <v>0</v>
      </c>
      <c r="H97" s="54">
        <f>E97*3.5%</f>
        <v>0.17500000000000002</v>
      </c>
      <c r="I97" s="54">
        <f>E97*19%</f>
        <v>0.95</v>
      </c>
      <c r="J97" s="54">
        <f>E97*0.03%</f>
        <v>1.4999999999999998E-3</v>
      </c>
      <c r="K97" s="54">
        <f>E97*10%</f>
        <v>0.5</v>
      </c>
      <c r="L97" s="54">
        <v>0</v>
      </c>
      <c r="M97" s="54">
        <f>C97*7%</f>
        <v>0.35000000000000003</v>
      </c>
      <c r="N97" s="54">
        <f>E97*32%</f>
        <v>1.6</v>
      </c>
      <c r="O97" s="54">
        <f>E97*12%</f>
        <v>0.6</v>
      </c>
      <c r="P97" s="54">
        <f>E97*0.7%</f>
        <v>3.4999999999999996E-2</v>
      </c>
      <c r="Q97" s="54">
        <v>150</v>
      </c>
      <c r="R97" s="54">
        <f>C97/1000*150</f>
        <v>0.75</v>
      </c>
    </row>
    <row r="98" spans="1:18" s="63" customFormat="1" ht="18">
      <c r="A98" s="88"/>
      <c r="B98" s="89" t="s">
        <v>24</v>
      </c>
      <c r="C98" s="62">
        <v>10</v>
      </c>
      <c r="D98" s="62">
        <v>0</v>
      </c>
      <c r="E98" s="62">
        <f>SUM(C98:D98)</f>
        <v>10</v>
      </c>
      <c r="F98" s="62">
        <v>0</v>
      </c>
      <c r="G98" s="69">
        <f>E98*0.999</f>
        <v>9.99</v>
      </c>
      <c r="H98" s="62">
        <v>0</v>
      </c>
      <c r="I98" s="62">
        <f>E98*8.99%</f>
        <v>0.89900000000000002</v>
      </c>
      <c r="J98" s="62">
        <f>E98*0.06%</f>
        <v>5.9999999999999993E-3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150</v>
      </c>
      <c r="R98" s="62">
        <f>C98/1000*150</f>
        <v>1.5</v>
      </c>
    </row>
    <row r="99" spans="1:18" s="66" customFormat="1" ht="18">
      <c r="A99" s="64"/>
      <c r="B99" s="52" t="s">
        <v>68</v>
      </c>
      <c r="C99" s="65">
        <f t="shared" ref="C99:P99" si="10">SUM(C93:C98)</f>
        <v>136</v>
      </c>
      <c r="D99" s="65">
        <f t="shared" si="10"/>
        <v>25</v>
      </c>
      <c r="E99" s="65">
        <f t="shared" si="10"/>
        <v>111</v>
      </c>
      <c r="F99" s="65">
        <f t="shared" si="10"/>
        <v>9.6195200000000014</v>
      </c>
      <c r="G99" s="65">
        <f t="shared" si="10"/>
        <v>17.1556</v>
      </c>
      <c r="H99" s="65">
        <f t="shared" si="10"/>
        <v>8.4124400000000001</v>
      </c>
      <c r="I99" s="65">
        <f t="shared" si="10"/>
        <v>136.97219999999999</v>
      </c>
      <c r="J99" s="65">
        <f t="shared" si="10"/>
        <v>7.2916000000000009E-2</v>
      </c>
      <c r="K99" s="65">
        <f t="shared" si="10"/>
        <v>3.6840000000000002</v>
      </c>
      <c r="L99" s="65">
        <f t="shared" si="10"/>
        <v>0</v>
      </c>
      <c r="M99" s="65">
        <f t="shared" si="10"/>
        <v>23.594799999999999</v>
      </c>
      <c r="N99" s="65">
        <f t="shared" si="10"/>
        <v>116.98799999999999</v>
      </c>
      <c r="O99" s="65">
        <f t="shared" si="10"/>
        <v>24.2728</v>
      </c>
      <c r="P99" s="65">
        <f t="shared" si="10"/>
        <v>1.7420399999999998</v>
      </c>
      <c r="Q99" s="65"/>
      <c r="R99" s="65">
        <f>SUM(R93:R98)</f>
        <v>33.590000000000003</v>
      </c>
    </row>
    <row r="100" spans="1:18" ht="18.75" customHeight="1">
      <c r="A100" s="161" t="s">
        <v>105</v>
      </c>
      <c r="B100" s="162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3"/>
    </row>
    <row r="101" spans="1:18" s="103" customFormat="1" ht="18" customHeight="1">
      <c r="A101" s="100"/>
      <c r="B101" s="102" t="s">
        <v>68</v>
      </c>
      <c r="C101" s="101">
        <v>30</v>
      </c>
      <c r="D101" s="101">
        <v>0</v>
      </c>
      <c r="E101" s="101">
        <v>30</v>
      </c>
      <c r="F101" s="101">
        <f>E101*7.9%</f>
        <v>2.37</v>
      </c>
      <c r="G101" s="101">
        <f>E101*1%</f>
        <v>0.3</v>
      </c>
      <c r="H101" s="101">
        <f>E101*48.1%</f>
        <v>14.430000000000001</v>
      </c>
      <c r="I101" s="101">
        <f>E101*239%</f>
        <v>71.7</v>
      </c>
      <c r="J101" s="101">
        <f>E101*0.16%</f>
        <v>4.8000000000000001E-2</v>
      </c>
      <c r="K101" s="101">
        <v>0</v>
      </c>
      <c r="L101" s="101">
        <v>0</v>
      </c>
      <c r="M101" s="101">
        <f>E101*23%</f>
        <v>6.9</v>
      </c>
      <c r="N101" s="101">
        <f>E101*87%</f>
        <v>26.1</v>
      </c>
      <c r="O101" s="101">
        <f>E101*33%</f>
        <v>9.9</v>
      </c>
      <c r="P101" s="101">
        <f>E101*2%</f>
        <v>0.6</v>
      </c>
      <c r="Q101" s="101">
        <v>50</v>
      </c>
      <c r="R101" s="101">
        <f>C101/1000*50</f>
        <v>1.5</v>
      </c>
    </row>
    <row r="102" spans="1:18" ht="21">
      <c r="A102" s="36"/>
      <c r="B102" s="130" t="s">
        <v>93</v>
      </c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4"/>
    </row>
    <row r="103" spans="1:18" ht="18">
      <c r="A103" s="33"/>
      <c r="B103" s="4" t="s">
        <v>51</v>
      </c>
      <c r="C103" s="4">
        <v>1</v>
      </c>
      <c r="D103" s="4">
        <v>0</v>
      </c>
      <c r="E103" s="4">
        <f>C103-D103</f>
        <v>1</v>
      </c>
      <c r="F103" s="4">
        <f>E103*21.74%</f>
        <v>0.21739999999999998</v>
      </c>
      <c r="G103" s="4">
        <f>E103*7.61%</f>
        <v>7.6100000000000001E-2</v>
      </c>
      <c r="H103" s="4">
        <f>E103*2.86%</f>
        <v>2.86E-2</v>
      </c>
      <c r="I103" s="4">
        <f>E103*9.18%</f>
        <v>9.1799999999999993E-2</v>
      </c>
      <c r="J103" s="4">
        <f>E103*4.7%</f>
        <v>4.7E-2</v>
      </c>
      <c r="K103" s="4">
        <f>E103*11%</f>
        <v>0.11</v>
      </c>
      <c r="L103" s="4">
        <f>E103*5.6%</f>
        <v>5.5999999999999994E-2</v>
      </c>
      <c r="M103" s="4">
        <f>E103*50%</f>
        <v>0.5</v>
      </c>
      <c r="N103" s="4">
        <f>E103*10%</f>
        <v>0.1</v>
      </c>
      <c r="O103" s="4">
        <f>E103*110%</f>
        <v>1.1000000000000001</v>
      </c>
      <c r="P103" s="4">
        <f>E103*456%</f>
        <v>4.5599999999999996</v>
      </c>
      <c r="Q103" s="4">
        <v>950</v>
      </c>
      <c r="R103" s="4">
        <f>C103/1000*950</f>
        <v>0.95000000000000007</v>
      </c>
    </row>
    <row r="104" spans="1:18" ht="18">
      <c r="A104" s="36"/>
      <c r="B104" s="4" t="s">
        <v>67</v>
      </c>
      <c r="C104" s="4">
        <v>15</v>
      </c>
      <c r="D104" s="4">
        <v>0</v>
      </c>
      <c r="E104" s="4">
        <v>15</v>
      </c>
      <c r="F104" s="4">
        <v>0</v>
      </c>
      <c r="G104" s="4">
        <v>0</v>
      </c>
      <c r="H104" s="4">
        <f>E104*99.8%</f>
        <v>14.97</v>
      </c>
      <c r="I104" s="4">
        <f>E104*379%</f>
        <v>56.85</v>
      </c>
      <c r="J104" s="4">
        <v>0</v>
      </c>
      <c r="K104" s="4">
        <v>0</v>
      </c>
      <c r="L104" s="4">
        <v>0</v>
      </c>
      <c r="M104" s="4">
        <f>E104*2%</f>
        <v>0.3</v>
      </c>
      <c r="N104" s="4">
        <v>0</v>
      </c>
      <c r="O104" s="4">
        <v>0</v>
      </c>
      <c r="P104" s="4">
        <f>E104*0.3%</f>
        <v>4.4999999999999998E-2</v>
      </c>
      <c r="Q104" s="4">
        <v>60</v>
      </c>
      <c r="R104" s="4">
        <f>C104/1000*60</f>
        <v>0.89999999999999991</v>
      </c>
    </row>
    <row r="105" spans="1:18" s="66" customFormat="1" ht="18">
      <c r="A105" s="67"/>
      <c r="B105" s="52" t="s">
        <v>68</v>
      </c>
      <c r="C105" s="65">
        <f>SUM(C103:C104)</f>
        <v>16</v>
      </c>
      <c r="D105" s="65">
        <f>SUM(D104:D104)</f>
        <v>0</v>
      </c>
      <c r="E105" s="65">
        <v>150</v>
      </c>
      <c r="F105" s="65">
        <f t="shared" ref="F105:P105" si="11">SUM(F104:F104)</f>
        <v>0</v>
      </c>
      <c r="G105" s="65">
        <f t="shared" si="11"/>
        <v>0</v>
      </c>
      <c r="H105" s="65">
        <f t="shared" si="11"/>
        <v>14.97</v>
      </c>
      <c r="I105" s="65">
        <f t="shared" si="11"/>
        <v>56.85</v>
      </c>
      <c r="J105" s="65">
        <f t="shared" si="11"/>
        <v>0</v>
      </c>
      <c r="K105" s="65">
        <f t="shared" si="11"/>
        <v>0</v>
      </c>
      <c r="L105" s="65">
        <f t="shared" si="11"/>
        <v>0</v>
      </c>
      <c r="M105" s="65">
        <f t="shared" si="11"/>
        <v>0.3</v>
      </c>
      <c r="N105" s="65">
        <f t="shared" si="11"/>
        <v>0</v>
      </c>
      <c r="O105" s="65">
        <f t="shared" si="11"/>
        <v>0</v>
      </c>
      <c r="P105" s="65">
        <f t="shared" si="11"/>
        <v>4.4999999999999998E-2</v>
      </c>
      <c r="Q105" s="65"/>
      <c r="R105" s="65">
        <f>SUM(R103:R104)</f>
        <v>1.85</v>
      </c>
    </row>
    <row r="106" spans="1:18" ht="23.25" customHeight="1">
      <c r="A106" s="33"/>
      <c r="B106" s="121" t="s">
        <v>107</v>
      </c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1"/>
    </row>
    <row r="107" spans="1:18" ht="18">
      <c r="A107" s="33"/>
      <c r="B107" s="31" t="s">
        <v>68</v>
      </c>
      <c r="C107" s="7">
        <v>130</v>
      </c>
      <c r="D107" s="7">
        <v>0</v>
      </c>
      <c r="E107" s="7">
        <f>C107-D107</f>
        <v>130</v>
      </c>
      <c r="F107" s="7">
        <f>E107*1.5%</f>
        <v>1.95</v>
      </c>
      <c r="G107" s="7">
        <f>E107*0.5%</f>
        <v>0.65</v>
      </c>
      <c r="H107" s="7">
        <f>E107*21%</f>
        <v>27.3</v>
      </c>
      <c r="I107" s="7">
        <f>E107*96%</f>
        <v>124.8</v>
      </c>
      <c r="J107" s="7">
        <v>0</v>
      </c>
      <c r="K107" s="7">
        <v>8.6999999999999993</v>
      </c>
      <c r="L107" s="7">
        <v>3</v>
      </c>
      <c r="M107" s="7">
        <v>5</v>
      </c>
      <c r="N107" s="7">
        <v>22</v>
      </c>
      <c r="O107" s="7">
        <v>27</v>
      </c>
      <c r="P107" s="7">
        <v>0.3</v>
      </c>
      <c r="Q107" s="7">
        <v>122</v>
      </c>
      <c r="R107" s="7">
        <f>C107/1000*122</f>
        <v>15.860000000000001</v>
      </c>
    </row>
    <row r="108" spans="1:18" ht="22.5" customHeight="1">
      <c r="A108" s="182" t="s">
        <v>126</v>
      </c>
      <c r="B108" s="183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4"/>
    </row>
    <row r="109" spans="1:18" s="55" customFormat="1">
      <c r="A109" s="65"/>
      <c r="B109" s="101" t="s">
        <v>68</v>
      </c>
      <c r="C109" s="101">
        <v>3</v>
      </c>
      <c r="D109" s="101">
        <v>0</v>
      </c>
      <c r="E109" s="101">
        <f>C109-D109</f>
        <v>3</v>
      </c>
      <c r="F109" s="101">
        <v>0</v>
      </c>
      <c r="G109" s="101">
        <v>0</v>
      </c>
      <c r="H109" s="101">
        <v>0</v>
      </c>
      <c r="I109" s="101">
        <v>0</v>
      </c>
      <c r="J109" s="101">
        <v>0</v>
      </c>
      <c r="K109" s="101">
        <v>0</v>
      </c>
      <c r="L109" s="101">
        <v>0</v>
      </c>
      <c r="M109" s="101">
        <v>0</v>
      </c>
      <c r="N109" s="101">
        <v>0</v>
      </c>
      <c r="O109" s="101">
        <v>0</v>
      </c>
      <c r="P109" s="101">
        <v>0</v>
      </c>
      <c r="Q109" s="101">
        <v>20</v>
      </c>
      <c r="R109" s="101">
        <f>C109/1000*20</f>
        <v>0.06</v>
      </c>
    </row>
    <row r="110" spans="1:18" s="55" customFormat="1" ht="20.25" customHeight="1">
      <c r="A110" s="65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</row>
    <row r="111" spans="1:18" ht="24" customHeight="1">
      <c r="A111" s="43"/>
      <c r="B111" s="41" t="s">
        <v>68</v>
      </c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8">
        <f>R109+R107+R105+R101+R99+R91</f>
        <v>61.010000000000005</v>
      </c>
    </row>
    <row r="112" spans="1:18" s="273" customFormat="1" ht="29.25" customHeight="1">
      <c r="A112" s="273" t="s">
        <v>134</v>
      </c>
    </row>
    <row r="113" spans="1:18" s="273" customFormat="1" ht="29.25" customHeight="1"/>
    <row r="114" spans="1:18" s="273" customFormat="1" ht="23.25" customHeight="1"/>
    <row r="115" spans="1:18" ht="18.75" customHeight="1">
      <c r="A115" s="185"/>
      <c r="B115" s="222" t="s">
        <v>0</v>
      </c>
      <c r="C115" s="187" t="s">
        <v>84</v>
      </c>
      <c r="D115" s="190" t="s">
        <v>19</v>
      </c>
      <c r="E115" s="190" t="s">
        <v>18</v>
      </c>
      <c r="F115" s="146" t="s">
        <v>1</v>
      </c>
      <c r="G115" s="146" t="s">
        <v>2</v>
      </c>
      <c r="H115" s="142" t="s">
        <v>3</v>
      </c>
      <c r="I115" s="146" t="s">
        <v>4</v>
      </c>
      <c r="J115" s="224" t="s">
        <v>5</v>
      </c>
      <c r="K115" s="225"/>
      <c r="L115" s="226"/>
      <c r="M115" s="224" t="s">
        <v>6</v>
      </c>
      <c r="N115" s="225"/>
      <c r="O115" s="225"/>
      <c r="P115" s="226"/>
      <c r="Q115" s="146" t="s">
        <v>65</v>
      </c>
      <c r="R115" s="194" t="s">
        <v>102</v>
      </c>
    </row>
    <row r="116" spans="1:18" ht="15" customHeight="1">
      <c r="A116" s="186"/>
      <c r="B116" s="223"/>
      <c r="C116" s="188"/>
      <c r="D116" s="191"/>
      <c r="E116" s="191"/>
      <c r="F116" s="147"/>
      <c r="G116" s="147"/>
      <c r="H116" s="143"/>
      <c r="I116" s="147"/>
      <c r="J116" s="146" t="s">
        <v>7</v>
      </c>
      <c r="K116" s="190" t="s">
        <v>8</v>
      </c>
      <c r="L116" s="146" t="s">
        <v>9</v>
      </c>
      <c r="M116" s="146" t="s">
        <v>10</v>
      </c>
      <c r="N116" s="146" t="s">
        <v>11</v>
      </c>
      <c r="O116" s="146" t="s">
        <v>12</v>
      </c>
      <c r="P116" s="146" t="s">
        <v>13</v>
      </c>
      <c r="Q116" s="147"/>
      <c r="R116" s="195"/>
    </row>
    <row r="117" spans="1:18" ht="17.399999999999999">
      <c r="A117" s="42"/>
      <c r="B117" s="40"/>
      <c r="C117" s="189"/>
      <c r="D117" s="192"/>
      <c r="E117" s="192"/>
      <c r="F117" s="148"/>
      <c r="G117" s="148"/>
      <c r="H117" s="144"/>
      <c r="I117" s="148"/>
      <c r="J117" s="148"/>
      <c r="K117" s="192"/>
      <c r="L117" s="148"/>
      <c r="M117" s="148"/>
      <c r="N117" s="148"/>
      <c r="O117" s="148"/>
      <c r="P117" s="148"/>
      <c r="Q117" s="148"/>
      <c r="R117" s="196"/>
    </row>
    <row r="118" spans="1:18" ht="20.25" customHeight="1">
      <c r="A118" s="42"/>
      <c r="B118" s="236" t="s">
        <v>110</v>
      </c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8"/>
    </row>
    <row r="119" spans="1:18" ht="18">
      <c r="A119" s="33"/>
      <c r="B119" s="3" t="s">
        <v>82</v>
      </c>
      <c r="C119" s="4">
        <v>50</v>
      </c>
      <c r="D119" s="4">
        <v>0</v>
      </c>
      <c r="E119" s="4">
        <f>C119-D119</f>
        <v>50</v>
      </c>
      <c r="F119" s="4">
        <f>E119*2%</f>
        <v>1</v>
      </c>
      <c r="G119" s="4">
        <f>E119*0.4%</f>
        <v>0.2</v>
      </c>
      <c r="H119" s="4">
        <f>E119*16.3%</f>
        <v>8.15</v>
      </c>
      <c r="I119" s="4">
        <f>E119*80%</f>
        <v>40</v>
      </c>
      <c r="J119" s="4">
        <f>E119*0.12%</f>
        <v>0.06</v>
      </c>
      <c r="K119" s="4">
        <f>E119*20%</f>
        <v>10</v>
      </c>
      <c r="L119" s="4">
        <v>0</v>
      </c>
      <c r="M119" s="4">
        <f>E119*10%</f>
        <v>5</v>
      </c>
      <c r="N119" s="4">
        <f>E119*58%</f>
        <v>28.999999999999996</v>
      </c>
      <c r="O119" s="4">
        <f>E119*23%</f>
        <v>11.5</v>
      </c>
      <c r="P119" s="4">
        <f>E119*0.9%</f>
        <v>0.45000000000000007</v>
      </c>
      <c r="Q119" s="4">
        <v>75</v>
      </c>
      <c r="R119" s="4">
        <f>C119/1000*75</f>
        <v>3.75</v>
      </c>
    </row>
    <row r="120" spans="1:18" ht="18">
      <c r="A120" s="33"/>
      <c r="B120" s="1" t="s">
        <v>16</v>
      </c>
      <c r="C120" s="4">
        <v>10</v>
      </c>
      <c r="D120" s="4">
        <v>0</v>
      </c>
      <c r="E120" s="4">
        <f>C120-D120</f>
        <v>10</v>
      </c>
      <c r="F120" s="4">
        <v>0</v>
      </c>
      <c r="G120" s="6">
        <f>E120*99.9%</f>
        <v>9.990000000000002</v>
      </c>
      <c r="H120" s="4">
        <v>0</v>
      </c>
      <c r="I120" s="4">
        <f>E120*8.99%</f>
        <v>0.89900000000000002</v>
      </c>
      <c r="J120" s="4">
        <f>E120*0.06%</f>
        <v>5.9999999999999993E-3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150</v>
      </c>
      <c r="R120" s="3">
        <f>C120/1000*150</f>
        <v>1.5</v>
      </c>
    </row>
    <row r="121" spans="1:18" ht="18">
      <c r="A121" s="33"/>
      <c r="B121" s="3" t="s">
        <v>14</v>
      </c>
      <c r="C121" s="4">
        <v>25</v>
      </c>
      <c r="D121" s="4">
        <f>C121*0.2</f>
        <v>5</v>
      </c>
      <c r="E121" s="4">
        <f>C121-D121</f>
        <v>20</v>
      </c>
      <c r="F121" s="4">
        <f>E121*1.3%</f>
        <v>0.26</v>
      </c>
      <c r="G121" s="6">
        <f>E121*0.001</f>
        <v>0.02</v>
      </c>
      <c r="H121" s="4">
        <f>E121*0.072</f>
        <v>1.44</v>
      </c>
      <c r="I121" s="4">
        <f>E121*0.3</f>
        <v>6</v>
      </c>
      <c r="J121" s="4">
        <f>E121*0.06%</f>
        <v>1.1999999999999999E-2</v>
      </c>
      <c r="K121" s="4">
        <f>E121*5%</f>
        <v>1</v>
      </c>
      <c r="L121" s="4">
        <v>0</v>
      </c>
      <c r="M121" s="4">
        <f>E121*51%</f>
        <v>10.199999999999999</v>
      </c>
      <c r="N121" s="4">
        <f>E121*55%</f>
        <v>11</v>
      </c>
      <c r="O121" s="4">
        <f>E121*38%</f>
        <v>7.6</v>
      </c>
      <c r="P121" s="4">
        <f>E121*0.7%</f>
        <v>0.13999999999999999</v>
      </c>
      <c r="Q121" s="4">
        <v>60</v>
      </c>
      <c r="R121" s="3">
        <f>C121/1000*60</f>
        <v>1.5</v>
      </c>
    </row>
    <row r="122" spans="1:18" ht="18">
      <c r="A122" s="26"/>
      <c r="B122" s="3" t="s">
        <v>71</v>
      </c>
      <c r="C122" s="4">
        <v>26</v>
      </c>
      <c r="D122" s="4">
        <f>C122*0.16</f>
        <v>4.16</v>
      </c>
      <c r="E122" s="4">
        <f>C122-D122</f>
        <v>21.84</v>
      </c>
      <c r="F122" s="4">
        <f>E122*1.4%</f>
        <v>0.30575999999999998</v>
      </c>
      <c r="G122">
        <v>0</v>
      </c>
      <c r="H122" s="4">
        <f>E122*9.1%</f>
        <v>1.9874399999999999</v>
      </c>
      <c r="I122" s="4">
        <f>E122*41%</f>
        <v>8.9543999999999997</v>
      </c>
      <c r="J122" s="4">
        <f>E122*0.05%</f>
        <v>1.0920000000000001E-2</v>
      </c>
      <c r="K122" s="4">
        <f>E122*10%</f>
        <v>2.1840000000000002</v>
      </c>
      <c r="L122" s="4">
        <v>0</v>
      </c>
      <c r="M122" s="4">
        <f>E122*31%</f>
        <v>6.7703999999999995</v>
      </c>
      <c r="N122" s="4">
        <f>E122*58%</f>
        <v>12.667199999999999</v>
      </c>
      <c r="O122" s="4">
        <f>E122*14%</f>
        <v>3.0576000000000003</v>
      </c>
      <c r="P122" s="4">
        <f>E122*0.8%</f>
        <v>0.17472000000000001</v>
      </c>
      <c r="Q122" s="4">
        <v>40</v>
      </c>
      <c r="R122" s="4">
        <f>C122/1000*40</f>
        <v>1.04</v>
      </c>
    </row>
    <row r="123" spans="1:18" ht="18">
      <c r="A123" s="33"/>
      <c r="B123" s="3" t="s">
        <v>72</v>
      </c>
      <c r="C123" s="4">
        <v>90</v>
      </c>
      <c r="D123" s="4">
        <f>C123*25%</f>
        <v>22.5</v>
      </c>
      <c r="E123" s="4">
        <v>75</v>
      </c>
      <c r="F123" s="4">
        <f>E123*18.2%</f>
        <v>13.65</v>
      </c>
      <c r="G123" s="4">
        <f>E123*18.4%</f>
        <v>13.799999999999999</v>
      </c>
      <c r="H123" s="4">
        <f>E123*0.7%</f>
        <v>0.52499999999999991</v>
      </c>
      <c r="I123" s="4">
        <f>E123*241%</f>
        <v>180.75</v>
      </c>
      <c r="J123" s="4">
        <f>E123*0.07%</f>
        <v>5.2500000000000005E-2</v>
      </c>
      <c r="K123" s="4">
        <v>0</v>
      </c>
      <c r="L123" s="4">
        <f>E123*0.07%</f>
        <v>5.2500000000000005E-2</v>
      </c>
      <c r="M123" s="4">
        <f>E123*16%</f>
        <v>12</v>
      </c>
      <c r="N123" s="4">
        <f>E123*165%</f>
        <v>123.75</v>
      </c>
      <c r="O123" s="4">
        <f>E123*18%</f>
        <v>13.5</v>
      </c>
      <c r="P123" s="4">
        <f>E123*1.6%</f>
        <v>1.2</v>
      </c>
      <c r="Q123" s="4">
        <v>270</v>
      </c>
      <c r="R123" s="4">
        <f>C123/1000*270</f>
        <v>24.3</v>
      </c>
    </row>
    <row r="124" spans="1:18" ht="18">
      <c r="A124" s="33"/>
      <c r="B124" s="30" t="s">
        <v>68</v>
      </c>
      <c r="C124" s="7">
        <f t="shared" ref="C124:P124" si="12">SUM(C119:C123)</f>
        <v>201</v>
      </c>
      <c r="D124" s="7">
        <f t="shared" si="12"/>
        <v>31.66</v>
      </c>
      <c r="E124" s="7">
        <f t="shared" si="12"/>
        <v>176.84</v>
      </c>
      <c r="F124" s="7">
        <f t="shared" si="12"/>
        <v>15.21576</v>
      </c>
      <c r="G124" s="7">
        <f t="shared" si="12"/>
        <v>24.009999999999998</v>
      </c>
      <c r="H124" s="7">
        <f t="shared" si="12"/>
        <v>12.10244</v>
      </c>
      <c r="I124" s="7">
        <f t="shared" si="12"/>
        <v>236.60339999999999</v>
      </c>
      <c r="J124" s="7">
        <f t="shared" si="12"/>
        <v>0.14141999999999999</v>
      </c>
      <c r="K124" s="7">
        <f t="shared" si="12"/>
        <v>13.184000000000001</v>
      </c>
      <c r="L124" s="7">
        <f t="shared" si="12"/>
        <v>5.2500000000000005E-2</v>
      </c>
      <c r="M124" s="7">
        <f t="shared" si="12"/>
        <v>33.970399999999998</v>
      </c>
      <c r="N124" s="7">
        <f t="shared" si="12"/>
        <v>176.41720000000001</v>
      </c>
      <c r="O124" s="7">
        <f t="shared" si="12"/>
        <v>35.657600000000002</v>
      </c>
      <c r="P124" s="7">
        <f t="shared" si="12"/>
        <v>1.96472</v>
      </c>
      <c r="Q124" s="7"/>
      <c r="R124" s="7">
        <f>SUM(R119:R123)</f>
        <v>32.090000000000003</v>
      </c>
    </row>
    <row r="125" spans="1:18" s="78" customFormat="1" ht="24" customHeight="1">
      <c r="A125" s="77"/>
      <c r="B125" s="154" t="s">
        <v>114</v>
      </c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213"/>
    </row>
    <row r="126" spans="1:18" ht="18">
      <c r="A126" s="33"/>
      <c r="B126" s="3" t="s">
        <v>70</v>
      </c>
      <c r="C126" s="4">
        <v>30</v>
      </c>
      <c r="D126" s="4">
        <f>C126*0.25</f>
        <v>7.5</v>
      </c>
      <c r="E126" s="4">
        <f>C126-D126</f>
        <v>22.5</v>
      </c>
      <c r="F126" s="4">
        <f>E126*2%</f>
        <v>0.45</v>
      </c>
      <c r="G126" s="4">
        <f>E126*0.4%</f>
        <v>0.09</v>
      </c>
      <c r="H126" s="4">
        <f>E126*16.3%</f>
        <v>3.6675</v>
      </c>
      <c r="I126" s="4">
        <f>E126*80%</f>
        <v>18</v>
      </c>
      <c r="J126" s="4">
        <f>E126*0.12%</f>
        <v>2.6999999999999996E-2</v>
      </c>
      <c r="K126" s="4">
        <f>E126*20%</f>
        <v>4.5</v>
      </c>
      <c r="L126" s="4">
        <v>0</v>
      </c>
      <c r="M126" s="4">
        <f>E126*10%</f>
        <v>2.25</v>
      </c>
      <c r="N126" s="4">
        <f>E126*58%</f>
        <v>13.049999999999999</v>
      </c>
      <c r="O126" s="4">
        <f>E126*23%</f>
        <v>5.1749999999999998</v>
      </c>
      <c r="P126" s="4">
        <f>E126*0.9%</f>
        <v>0.20250000000000001</v>
      </c>
      <c r="Q126" s="4">
        <v>57</v>
      </c>
      <c r="R126" s="4">
        <f>C126/1000*57</f>
        <v>1.71</v>
      </c>
    </row>
    <row r="127" spans="1:18" ht="18">
      <c r="A127" s="33"/>
      <c r="B127" s="3" t="s">
        <v>14</v>
      </c>
      <c r="C127" s="4">
        <v>30</v>
      </c>
      <c r="D127" s="4">
        <f>C127*0.2</f>
        <v>6</v>
      </c>
      <c r="E127" s="4">
        <f>C127-D127</f>
        <v>24</v>
      </c>
      <c r="F127" s="4">
        <f>E127*1.3%</f>
        <v>0.31200000000000006</v>
      </c>
      <c r="G127" s="6">
        <f>E127*0.001</f>
        <v>2.4E-2</v>
      </c>
      <c r="H127" s="4">
        <f>E127*0.072</f>
        <v>1.7279999999999998</v>
      </c>
      <c r="I127" s="4">
        <f>E127*0.3</f>
        <v>7.1999999999999993</v>
      </c>
      <c r="J127" s="4">
        <f>E127*0.06%</f>
        <v>1.44E-2</v>
      </c>
      <c r="K127" s="4">
        <f>E127*5%</f>
        <v>1.2000000000000002</v>
      </c>
      <c r="L127" s="4">
        <v>0</v>
      </c>
      <c r="M127" s="4">
        <f>E127*51%</f>
        <v>12.24</v>
      </c>
      <c r="N127" s="4">
        <f>E127*55%</f>
        <v>13.200000000000001</v>
      </c>
      <c r="O127" s="4">
        <f>E127*38%</f>
        <v>9.120000000000001</v>
      </c>
      <c r="P127" s="4">
        <f>E127*0.7%</f>
        <v>0.16799999999999998</v>
      </c>
      <c r="Q127" s="4">
        <v>60</v>
      </c>
      <c r="R127" s="3">
        <f>C127/1000*60</f>
        <v>1.7999999999999998</v>
      </c>
    </row>
    <row r="128" spans="1:18" ht="18">
      <c r="A128" s="33"/>
      <c r="B128" s="1" t="s">
        <v>69</v>
      </c>
      <c r="C128" s="4">
        <v>30</v>
      </c>
      <c r="D128" s="4">
        <f>C128*0.2</f>
        <v>6</v>
      </c>
      <c r="E128" s="4">
        <f>C128-D128</f>
        <v>24</v>
      </c>
      <c r="F128" s="4">
        <f>E128*0.015</f>
        <v>0.36</v>
      </c>
      <c r="G128" s="4">
        <f>E128*0.001</f>
        <v>2.4E-2</v>
      </c>
      <c r="H128" s="4">
        <f>E128*0.091</f>
        <v>2.1840000000000002</v>
      </c>
      <c r="I128" s="4">
        <f>E128*0.42</f>
        <v>10.08</v>
      </c>
      <c r="J128" s="4">
        <f>E128*0.02%</f>
        <v>4.8000000000000004E-3</v>
      </c>
      <c r="K128" s="4">
        <f>E128*10%</f>
        <v>2.4000000000000004</v>
      </c>
      <c r="L128" s="4">
        <v>0</v>
      </c>
      <c r="M128" s="4">
        <f>E128*37%</f>
        <v>8.879999999999999</v>
      </c>
      <c r="N128" s="4">
        <f>E128*43%</f>
        <v>10.32</v>
      </c>
      <c r="O128" s="4">
        <f>E128*22%</f>
        <v>5.28</v>
      </c>
      <c r="P128" s="4">
        <f>E128*1.4%</f>
        <v>0.33599999999999997</v>
      </c>
      <c r="Q128" s="4">
        <v>60</v>
      </c>
      <c r="R128" s="4">
        <f>C128/1000*60</f>
        <v>1.7999999999999998</v>
      </c>
    </row>
    <row r="129" spans="1:18" s="63" customFormat="1" ht="15.75" customHeight="1">
      <c r="A129" s="70"/>
      <c r="B129" s="1" t="s">
        <v>74</v>
      </c>
      <c r="C129" s="62">
        <v>10</v>
      </c>
      <c r="D129" s="62">
        <v>0</v>
      </c>
      <c r="E129" s="62">
        <f>C129-D129</f>
        <v>10</v>
      </c>
      <c r="F129" s="62">
        <v>0</v>
      </c>
      <c r="G129" s="69">
        <f>E129*0.999</f>
        <v>9.99</v>
      </c>
      <c r="H129" s="62">
        <v>0</v>
      </c>
      <c r="I129" s="62">
        <f>E129*8.99</f>
        <v>89.9</v>
      </c>
      <c r="J129" s="62">
        <f>E129*0.06%</f>
        <v>5.9999999999999993E-3</v>
      </c>
      <c r="K129" s="62">
        <v>0</v>
      </c>
      <c r="L129" s="62">
        <v>0</v>
      </c>
      <c r="M129" s="62">
        <v>0</v>
      </c>
      <c r="N129" s="62">
        <v>0</v>
      </c>
      <c r="O129" s="62">
        <v>0</v>
      </c>
      <c r="P129" s="62">
        <v>0</v>
      </c>
      <c r="Q129" s="62">
        <v>180</v>
      </c>
      <c r="R129" s="62">
        <f>C129/1000*180</f>
        <v>1.8</v>
      </c>
    </row>
    <row r="130" spans="1:18" ht="18">
      <c r="A130" s="33"/>
      <c r="B130" s="1" t="s">
        <v>16</v>
      </c>
      <c r="C130" s="4">
        <v>7</v>
      </c>
      <c r="D130" s="4">
        <v>0</v>
      </c>
      <c r="E130" s="4">
        <f>C130-D130</f>
        <v>7</v>
      </c>
      <c r="F130" s="4">
        <v>0</v>
      </c>
      <c r="G130" s="6">
        <f>E130*0.999</f>
        <v>6.9930000000000003</v>
      </c>
      <c r="H130" s="4">
        <v>0</v>
      </c>
      <c r="I130" s="4">
        <f>E130*8.99</f>
        <v>62.93</v>
      </c>
      <c r="J130" s="4">
        <f>E130*0.06%</f>
        <v>4.1999999999999997E-3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150</v>
      </c>
      <c r="R130" s="4">
        <f>C130/1000*150</f>
        <v>1.05</v>
      </c>
    </row>
    <row r="131" spans="1:18" ht="18">
      <c r="A131" s="33"/>
      <c r="B131" s="30" t="s">
        <v>68</v>
      </c>
      <c r="C131" s="7">
        <f t="shared" ref="C131:P131" si="13">SUM(C126:C130)</f>
        <v>107</v>
      </c>
      <c r="D131" s="7">
        <f t="shared" si="13"/>
        <v>19.5</v>
      </c>
      <c r="E131" s="7">
        <f t="shared" si="13"/>
        <v>87.5</v>
      </c>
      <c r="F131" s="7">
        <f t="shared" si="13"/>
        <v>1.1219999999999999</v>
      </c>
      <c r="G131" s="7">
        <f t="shared" si="13"/>
        <v>17.121000000000002</v>
      </c>
      <c r="H131" s="7">
        <f t="shared" si="13"/>
        <v>7.5795000000000003</v>
      </c>
      <c r="I131" s="7">
        <f t="shared" si="13"/>
        <v>188.11</v>
      </c>
      <c r="J131" s="7">
        <f t="shared" si="13"/>
        <v>5.6399999999999992E-2</v>
      </c>
      <c r="K131" s="7">
        <f t="shared" si="13"/>
        <v>8.1000000000000014</v>
      </c>
      <c r="L131" s="7">
        <f t="shared" si="13"/>
        <v>0</v>
      </c>
      <c r="M131" s="7">
        <f t="shared" si="13"/>
        <v>23.369999999999997</v>
      </c>
      <c r="N131" s="7">
        <f t="shared" si="13"/>
        <v>36.57</v>
      </c>
      <c r="O131" s="7">
        <f t="shared" si="13"/>
        <v>19.575000000000003</v>
      </c>
      <c r="P131" s="7">
        <f t="shared" si="13"/>
        <v>0.70649999999999991</v>
      </c>
      <c r="Q131" s="7"/>
      <c r="R131" s="7">
        <f t="shared" ref="R131" si="14">SUM(R126:R130)</f>
        <v>8.16</v>
      </c>
    </row>
    <row r="132" spans="1:18" s="78" customFormat="1" ht="21">
      <c r="A132" s="77"/>
      <c r="B132" s="130" t="s">
        <v>92</v>
      </c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4"/>
    </row>
    <row r="133" spans="1:18" ht="18">
      <c r="A133" s="33"/>
      <c r="B133" s="31" t="s">
        <v>68</v>
      </c>
      <c r="C133" s="7">
        <v>30</v>
      </c>
      <c r="D133" s="7">
        <v>0</v>
      </c>
      <c r="E133" s="7">
        <v>30</v>
      </c>
      <c r="F133" s="7">
        <f>E133*7.9%</f>
        <v>2.37</v>
      </c>
      <c r="G133" s="7">
        <f>E133*1%</f>
        <v>0.3</v>
      </c>
      <c r="H133" s="7">
        <f>E133*48.1%</f>
        <v>14.430000000000001</v>
      </c>
      <c r="I133" s="7">
        <f>E133*239%</f>
        <v>71.7</v>
      </c>
      <c r="J133" s="7">
        <f>E133*0.16%</f>
        <v>4.8000000000000001E-2</v>
      </c>
      <c r="K133" s="7">
        <v>0</v>
      </c>
      <c r="L133" s="7">
        <v>0</v>
      </c>
      <c r="M133" s="7">
        <f>E133*23%</f>
        <v>6.9</v>
      </c>
      <c r="N133" s="7">
        <f>E133*87%</f>
        <v>26.1</v>
      </c>
      <c r="O133" s="7">
        <f>E133*33%</f>
        <v>9.9</v>
      </c>
      <c r="P133" s="7">
        <f>E133*2%</f>
        <v>0.6</v>
      </c>
      <c r="Q133" s="7">
        <v>50</v>
      </c>
      <c r="R133" s="7">
        <f>C133/1000*50</f>
        <v>1.5</v>
      </c>
    </row>
    <row r="134" spans="1:18" s="76" customFormat="1" ht="21">
      <c r="A134" s="75"/>
      <c r="B134" s="208" t="s">
        <v>93</v>
      </c>
      <c r="C134" s="209"/>
      <c r="D134" s="209"/>
      <c r="E134" s="209"/>
      <c r="F134" s="209"/>
      <c r="G134" s="209"/>
      <c r="H134" s="209"/>
      <c r="I134" s="209"/>
      <c r="J134" s="209"/>
      <c r="K134" s="209"/>
      <c r="L134" s="209"/>
      <c r="M134" s="209"/>
      <c r="N134" s="209"/>
      <c r="O134" s="209"/>
      <c r="P134" s="209"/>
      <c r="Q134" s="209"/>
      <c r="R134" s="210"/>
    </row>
    <row r="135" spans="1:18" ht="18">
      <c r="A135" s="33"/>
      <c r="B135" s="4" t="s">
        <v>51</v>
      </c>
      <c r="C135" s="4">
        <v>1</v>
      </c>
      <c r="D135" s="4">
        <v>0</v>
      </c>
      <c r="E135" s="4">
        <f>C135-D135</f>
        <v>1</v>
      </c>
      <c r="F135" s="4">
        <f>E135*21.74%</f>
        <v>0.21739999999999998</v>
      </c>
      <c r="G135" s="4">
        <f>E135*7.61%</f>
        <v>7.6100000000000001E-2</v>
      </c>
      <c r="H135" s="4">
        <f>E135*2.86%</f>
        <v>2.86E-2</v>
      </c>
      <c r="I135" s="4">
        <f>E135*9.18%</f>
        <v>9.1799999999999993E-2</v>
      </c>
      <c r="J135" s="4">
        <f>E135*4.7%</f>
        <v>4.7E-2</v>
      </c>
      <c r="K135" s="4">
        <f>E135*11%</f>
        <v>0.11</v>
      </c>
      <c r="L135" s="4">
        <f>E135*5.6%</f>
        <v>5.5999999999999994E-2</v>
      </c>
      <c r="M135" s="4">
        <f>E135*50%</f>
        <v>0.5</v>
      </c>
      <c r="N135" s="4">
        <f>E135*10%</f>
        <v>0.1</v>
      </c>
      <c r="O135" s="4">
        <f>E135*110%</f>
        <v>1.1000000000000001</v>
      </c>
      <c r="P135" s="4">
        <f>E135*456%</f>
        <v>4.5599999999999996</v>
      </c>
      <c r="Q135" s="4">
        <v>950</v>
      </c>
      <c r="R135" s="4">
        <f>C135/1000*950</f>
        <v>0.95000000000000007</v>
      </c>
    </row>
    <row r="136" spans="1:18" ht="18">
      <c r="A136" s="36"/>
      <c r="B136" s="4" t="s">
        <v>67</v>
      </c>
      <c r="C136" s="4">
        <v>15</v>
      </c>
      <c r="D136" s="4">
        <v>0</v>
      </c>
      <c r="E136" s="4">
        <v>15</v>
      </c>
      <c r="F136" s="4">
        <v>0</v>
      </c>
      <c r="G136" s="4">
        <v>0</v>
      </c>
      <c r="H136" s="4">
        <f>E136*99.8%</f>
        <v>14.97</v>
      </c>
      <c r="I136" s="4">
        <f>E136*379%</f>
        <v>56.85</v>
      </c>
      <c r="J136" s="4">
        <v>0</v>
      </c>
      <c r="K136" s="4">
        <v>0</v>
      </c>
      <c r="L136" s="4">
        <v>0</v>
      </c>
      <c r="M136" s="4">
        <f>E136*2%</f>
        <v>0.3</v>
      </c>
      <c r="N136" s="4">
        <v>0</v>
      </c>
      <c r="O136" s="4">
        <v>0</v>
      </c>
      <c r="P136" s="4">
        <f>E136*0.3%</f>
        <v>4.4999999999999998E-2</v>
      </c>
      <c r="Q136" s="4">
        <v>60</v>
      </c>
      <c r="R136" s="4">
        <f>C136/1000*60</f>
        <v>0.89999999999999991</v>
      </c>
    </row>
    <row r="137" spans="1:18" ht="18">
      <c r="A137" s="36"/>
      <c r="B137" s="31" t="s">
        <v>68</v>
      </c>
      <c r="C137" s="7">
        <f>SUM(C135:C136)</f>
        <v>16</v>
      </c>
      <c r="D137" s="7">
        <f>SUM(D136:D136)</f>
        <v>0</v>
      </c>
      <c r="E137" s="7">
        <v>150</v>
      </c>
      <c r="F137" s="7">
        <f t="shared" ref="F137:P137" si="15">SUM(F136:F136)</f>
        <v>0</v>
      </c>
      <c r="G137" s="7">
        <f t="shared" si="15"/>
        <v>0</v>
      </c>
      <c r="H137" s="7">
        <f t="shared" si="15"/>
        <v>14.97</v>
      </c>
      <c r="I137" s="7">
        <f t="shared" si="15"/>
        <v>56.85</v>
      </c>
      <c r="J137" s="7">
        <f t="shared" si="15"/>
        <v>0</v>
      </c>
      <c r="K137" s="7">
        <f t="shared" si="15"/>
        <v>0</v>
      </c>
      <c r="L137" s="7">
        <f t="shared" si="15"/>
        <v>0</v>
      </c>
      <c r="M137" s="7">
        <f t="shared" si="15"/>
        <v>0.3</v>
      </c>
      <c r="N137" s="7">
        <f t="shared" si="15"/>
        <v>0</v>
      </c>
      <c r="O137" s="7">
        <f t="shared" si="15"/>
        <v>0</v>
      </c>
      <c r="P137" s="7">
        <f t="shared" si="15"/>
        <v>4.4999999999999998E-2</v>
      </c>
      <c r="Q137" s="7"/>
      <c r="R137" s="7">
        <f>SUM(R135:R136)</f>
        <v>1.85</v>
      </c>
    </row>
    <row r="138" spans="1:18" ht="18">
      <c r="A138" s="33"/>
      <c r="B138" s="212" t="s">
        <v>98</v>
      </c>
      <c r="C138" s="216"/>
      <c r="D138" s="216"/>
      <c r="E138" s="216"/>
      <c r="F138" s="216"/>
      <c r="G138" s="216"/>
      <c r="H138" s="216"/>
      <c r="I138" s="216"/>
      <c r="J138" s="216"/>
      <c r="K138" s="216"/>
      <c r="L138" s="216"/>
      <c r="M138" s="216"/>
      <c r="N138" s="216"/>
      <c r="O138" s="216"/>
      <c r="P138" s="216"/>
      <c r="Q138" s="216"/>
      <c r="R138" s="217"/>
    </row>
    <row r="139" spans="1:18" ht="18">
      <c r="A139" s="33"/>
      <c r="B139" s="31" t="s">
        <v>68</v>
      </c>
      <c r="C139" s="7">
        <v>40</v>
      </c>
      <c r="D139" s="7">
        <v>0</v>
      </c>
      <c r="E139" s="7">
        <f>C139-D139</f>
        <v>40</v>
      </c>
      <c r="F139" s="4">
        <f>E139*7.5%</f>
        <v>3</v>
      </c>
      <c r="G139" s="4">
        <f>E139*11.8%</f>
        <v>4.7200000000000006</v>
      </c>
      <c r="H139" s="4">
        <f>E139*74.4%</f>
        <v>29.760000000000005</v>
      </c>
      <c r="I139" s="4">
        <f>E139*436%</f>
        <v>174.4</v>
      </c>
      <c r="J139" s="4">
        <f>E139*0.08%</f>
        <v>3.2000000000000001E-2</v>
      </c>
      <c r="K139" s="4">
        <f>E139*0%</f>
        <v>0</v>
      </c>
      <c r="L139" s="4">
        <f>E139*0%</f>
        <v>0</v>
      </c>
      <c r="M139" s="4">
        <f>E139*29%</f>
        <v>11.6</v>
      </c>
      <c r="N139" s="4">
        <f>E139*90%</f>
        <v>36</v>
      </c>
      <c r="O139" s="4">
        <f>E139*20%</f>
        <v>8</v>
      </c>
      <c r="P139" s="4">
        <f>E139*2.1%</f>
        <v>0.84000000000000008</v>
      </c>
      <c r="Q139" s="4">
        <v>160</v>
      </c>
      <c r="R139" s="7">
        <f>C139/1000*160</f>
        <v>6.4</v>
      </c>
    </row>
    <row r="140" spans="1:18" ht="24.75" customHeight="1">
      <c r="A140" s="33"/>
      <c r="B140" s="130" t="s">
        <v>96</v>
      </c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  <c r="R140" s="134"/>
    </row>
    <row r="141" spans="1:18" ht="18">
      <c r="A141" s="33"/>
      <c r="B141" s="31" t="s">
        <v>68</v>
      </c>
      <c r="C141" s="7">
        <v>140</v>
      </c>
      <c r="D141" s="7">
        <v>0</v>
      </c>
      <c r="E141" s="7">
        <v>125</v>
      </c>
      <c r="F141" s="7">
        <f>E141*0.4%</f>
        <v>0.5</v>
      </c>
      <c r="G141" s="7">
        <f>E141*0.4%</f>
        <v>0.5</v>
      </c>
      <c r="H141" s="7">
        <f>E141*9.8%</f>
        <v>12.25</v>
      </c>
      <c r="I141" s="7">
        <f>E141*45%</f>
        <v>56.25</v>
      </c>
      <c r="J141" s="7">
        <f>E141*0.03%</f>
        <v>3.7499999999999999E-2</v>
      </c>
      <c r="K141" s="7">
        <f>E141*13%</f>
        <v>16.25</v>
      </c>
      <c r="L141" s="7">
        <v>0</v>
      </c>
      <c r="M141" s="7">
        <f>E141*16%</f>
        <v>20</v>
      </c>
      <c r="N141" s="7">
        <f>E141*11%</f>
        <v>13.75</v>
      </c>
      <c r="O141" s="7">
        <f>E141*9%</f>
        <v>11.25</v>
      </c>
      <c r="P141" s="7">
        <f>E141*2.2%</f>
        <v>2.7500000000000004</v>
      </c>
      <c r="Q141" s="7">
        <v>78</v>
      </c>
      <c r="R141" s="7">
        <f>C141/1000*78</f>
        <v>10.920000000000002</v>
      </c>
    </row>
    <row r="142" spans="1:18" ht="21">
      <c r="A142" s="33"/>
      <c r="B142" s="121" t="s">
        <v>90</v>
      </c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4"/>
      <c r="R142" s="215"/>
    </row>
    <row r="143" spans="1:18" ht="18">
      <c r="A143" s="33"/>
      <c r="B143" s="31" t="s">
        <v>68</v>
      </c>
      <c r="C143" s="27">
        <v>3</v>
      </c>
      <c r="D143" s="7">
        <v>0</v>
      </c>
      <c r="E143" s="27">
        <f>C143-D143</f>
        <v>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20</v>
      </c>
      <c r="R143" s="27">
        <f>C143/1000*20</f>
        <v>0.06</v>
      </c>
    </row>
    <row r="144" spans="1:18" ht="18">
      <c r="A144" s="33"/>
      <c r="B144" s="31"/>
      <c r="C144" s="27"/>
      <c r="D144" s="7"/>
      <c r="E144" s="2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27"/>
    </row>
    <row r="145" spans="1:18" ht="23.4">
      <c r="A145" s="36"/>
      <c r="B145" s="25" t="s">
        <v>68</v>
      </c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>
        <f>R143+R141+R139+R137+R133+R131+R124</f>
        <v>60.980000000000004</v>
      </c>
    </row>
    <row r="146" spans="1:18" s="270" customFormat="1" ht="23.25" customHeight="1">
      <c r="A146" s="264" t="s">
        <v>135</v>
      </c>
      <c r="B146" s="264"/>
      <c r="C146" s="264"/>
      <c r="D146" s="264"/>
      <c r="E146" s="264"/>
      <c r="F146" s="264"/>
      <c r="G146" s="264"/>
      <c r="H146" s="264"/>
      <c r="I146" s="264"/>
      <c r="J146" s="264"/>
      <c r="K146" s="264"/>
      <c r="L146" s="264"/>
      <c r="M146" s="264"/>
      <c r="N146" s="264"/>
      <c r="O146" s="264"/>
      <c r="P146" s="264"/>
      <c r="Q146" s="264"/>
      <c r="R146" s="264"/>
    </row>
    <row r="147" spans="1:18" s="270" customFormat="1" ht="23.25" customHeight="1">
      <c r="A147" s="264"/>
      <c r="B147" s="264"/>
      <c r="C147" s="264"/>
      <c r="D147" s="264"/>
      <c r="E147" s="264"/>
      <c r="F147" s="264"/>
      <c r="G147" s="264"/>
      <c r="H147" s="264"/>
      <c r="I147" s="264"/>
      <c r="J147" s="264"/>
      <c r="K147" s="264"/>
      <c r="L147" s="264"/>
      <c r="M147" s="264"/>
      <c r="N147" s="264"/>
      <c r="O147" s="264"/>
      <c r="P147" s="264"/>
      <c r="Q147" s="264"/>
      <c r="R147" s="264"/>
    </row>
    <row r="148" spans="1:18" s="270" customFormat="1" ht="18.75" customHeight="1">
      <c r="A148" s="264"/>
      <c r="B148" s="264"/>
      <c r="C148" s="264"/>
      <c r="D148" s="264"/>
      <c r="E148" s="264"/>
      <c r="F148" s="264"/>
      <c r="G148" s="264"/>
      <c r="H148" s="264"/>
      <c r="I148" s="264"/>
      <c r="J148" s="264"/>
      <c r="K148" s="264"/>
      <c r="L148" s="264"/>
      <c r="M148" s="264"/>
      <c r="N148" s="264"/>
      <c r="O148" s="264"/>
      <c r="P148" s="264"/>
      <c r="Q148" s="264"/>
      <c r="R148" s="264"/>
    </row>
    <row r="149" spans="1:18" ht="17.399999999999999">
      <c r="A149" s="185"/>
      <c r="B149" s="135" t="s">
        <v>0</v>
      </c>
      <c r="C149" s="187" t="s">
        <v>84</v>
      </c>
      <c r="D149" s="190" t="s">
        <v>19</v>
      </c>
      <c r="E149" s="190" t="s">
        <v>18</v>
      </c>
      <c r="F149" s="146" t="s">
        <v>1</v>
      </c>
      <c r="G149" s="146" t="s">
        <v>2</v>
      </c>
      <c r="H149" s="142" t="s">
        <v>3</v>
      </c>
      <c r="I149" s="146" t="s">
        <v>4</v>
      </c>
      <c r="J149" s="193" t="s">
        <v>5</v>
      </c>
      <c r="K149" s="193"/>
      <c r="L149" s="193"/>
      <c r="M149" s="193" t="s">
        <v>6</v>
      </c>
      <c r="N149" s="193"/>
      <c r="O149" s="193"/>
      <c r="P149" s="193"/>
      <c r="Q149" s="146" t="s">
        <v>65</v>
      </c>
      <c r="R149" s="194" t="s">
        <v>102</v>
      </c>
    </row>
    <row r="150" spans="1:18">
      <c r="A150" s="186"/>
      <c r="B150" s="135"/>
      <c r="C150" s="188"/>
      <c r="D150" s="191"/>
      <c r="E150" s="191"/>
      <c r="F150" s="147"/>
      <c r="G150" s="147"/>
      <c r="H150" s="143"/>
      <c r="I150" s="147"/>
      <c r="J150" s="146" t="s">
        <v>7</v>
      </c>
      <c r="K150" s="190" t="s">
        <v>8</v>
      </c>
      <c r="L150" s="146" t="s">
        <v>9</v>
      </c>
      <c r="M150" s="146" t="s">
        <v>10</v>
      </c>
      <c r="N150" s="146" t="s">
        <v>11</v>
      </c>
      <c r="O150" s="146" t="s">
        <v>12</v>
      </c>
      <c r="P150" s="146" t="s">
        <v>13</v>
      </c>
      <c r="Q150" s="147"/>
      <c r="R150" s="195"/>
    </row>
    <row r="151" spans="1:18" ht="17.399999999999999">
      <c r="A151" s="42"/>
      <c r="B151" s="40"/>
      <c r="C151" s="189"/>
      <c r="D151" s="192"/>
      <c r="E151" s="192"/>
      <c r="F151" s="148"/>
      <c r="G151" s="148"/>
      <c r="H151" s="144"/>
      <c r="I151" s="148"/>
      <c r="J151" s="148"/>
      <c r="K151" s="192"/>
      <c r="L151" s="148"/>
      <c r="M151" s="148"/>
      <c r="N151" s="148"/>
      <c r="O151" s="148"/>
      <c r="P151" s="148"/>
      <c r="Q151" s="148"/>
      <c r="R151" s="196"/>
    </row>
    <row r="152" spans="1:18" ht="21">
      <c r="A152" s="80"/>
      <c r="B152" s="124" t="s">
        <v>111</v>
      </c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6"/>
    </row>
    <row r="153" spans="1:18" ht="18">
      <c r="A153" s="33"/>
      <c r="B153" s="1" t="s">
        <v>78</v>
      </c>
      <c r="C153" s="4">
        <v>80</v>
      </c>
      <c r="D153" s="4">
        <f>C153*20%</f>
        <v>16</v>
      </c>
      <c r="E153" s="4">
        <f>C153-D153</f>
        <v>64</v>
      </c>
      <c r="F153" s="4">
        <f>E153*18%</f>
        <v>11.52</v>
      </c>
      <c r="G153" s="4">
        <f>E153*13.2%</f>
        <v>8.4480000000000004</v>
      </c>
      <c r="H153" s="4">
        <v>0</v>
      </c>
      <c r="I153" s="4">
        <f>E153*191%</f>
        <v>122.24</v>
      </c>
      <c r="J153" s="4">
        <f>E153*0.12%</f>
        <v>7.6799999999999993E-2</v>
      </c>
      <c r="K153" s="4">
        <f>E153*1.2%</f>
        <v>0.76800000000000002</v>
      </c>
      <c r="L153" s="4">
        <f>E153*0.01%</f>
        <v>6.4000000000000003E-3</v>
      </c>
      <c r="M153" s="4">
        <f>E153*40%</f>
        <v>25.6</v>
      </c>
      <c r="N153" s="4">
        <f>E153*280%</f>
        <v>179.2</v>
      </c>
      <c r="O153" s="4">
        <f>E153*50%</f>
        <v>32</v>
      </c>
      <c r="P153" s="4">
        <f>E153*1.7%</f>
        <v>1.0880000000000001</v>
      </c>
      <c r="Q153" s="4">
        <v>350</v>
      </c>
      <c r="R153" s="4">
        <f>C153/1000*350</f>
        <v>28</v>
      </c>
    </row>
    <row r="154" spans="1:18" ht="18">
      <c r="A154" s="33"/>
      <c r="B154" s="1" t="s">
        <v>16</v>
      </c>
      <c r="C154" s="4">
        <v>9</v>
      </c>
      <c r="D154" s="4">
        <v>0</v>
      </c>
      <c r="E154" s="4">
        <f>C154-D154</f>
        <v>9</v>
      </c>
      <c r="F154" s="4">
        <v>0</v>
      </c>
      <c r="G154" s="6">
        <f>E154*99.9%</f>
        <v>8.9910000000000014</v>
      </c>
      <c r="H154" s="4">
        <v>0</v>
      </c>
      <c r="I154" s="4">
        <f>E154*8.99%</f>
        <v>0.80910000000000004</v>
      </c>
      <c r="J154" s="4">
        <f>E154*0.06%</f>
        <v>5.3999999999999994E-3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150</v>
      </c>
      <c r="R154" s="3">
        <f>C154/1000*150</f>
        <v>1.3499999999999999</v>
      </c>
    </row>
    <row r="155" spans="1:18" ht="18">
      <c r="A155" s="33"/>
      <c r="B155" s="30" t="s">
        <v>68</v>
      </c>
      <c r="C155" s="5">
        <f>SUM(C153:C154)</f>
        <v>89</v>
      </c>
      <c r="D155" s="5">
        <f>SUM(D154:D154)</f>
        <v>0</v>
      </c>
      <c r="E155" s="5">
        <v>59</v>
      </c>
      <c r="F155" s="5">
        <f t="shared" ref="F155:P155" si="16">SUM(F153:F154)</f>
        <v>11.52</v>
      </c>
      <c r="G155" s="5">
        <f t="shared" si="16"/>
        <v>17.439</v>
      </c>
      <c r="H155" s="5">
        <f t="shared" si="16"/>
        <v>0</v>
      </c>
      <c r="I155" s="5">
        <f t="shared" si="16"/>
        <v>123.0491</v>
      </c>
      <c r="J155" s="5">
        <f t="shared" si="16"/>
        <v>8.2199999999999995E-2</v>
      </c>
      <c r="K155" s="5">
        <f t="shared" si="16"/>
        <v>0.76800000000000002</v>
      </c>
      <c r="L155" s="5">
        <f t="shared" si="16"/>
        <v>6.4000000000000003E-3</v>
      </c>
      <c r="M155" s="5">
        <f t="shared" si="16"/>
        <v>25.6</v>
      </c>
      <c r="N155" s="5">
        <f t="shared" si="16"/>
        <v>179.2</v>
      </c>
      <c r="O155" s="5">
        <f t="shared" si="16"/>
        <v>32</v>
      </c>
      <c r="P155" s="5">
        <f t="shared" si="16"/>
        <v>1.0880000000000001</v>
      </c>
      <c r="Q155" s="5"/>
      <c r="R155" s="5">
        <f t="shared" ref="R155" si="17">SUM(R153:R154)</f>
        <v>29.35</v>
      </c>
    </row>
    <row r="156" spans="1:18" ht="21">
      <c r="A156" s="127" t="s">
        <v>112</v>
      </c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9"/>
    </row>
    <row r="157" spans="1:18" s="55" customFormat="1" ht="22.5" customHeight="1">
      <c r="A157" s="36"/>
      <c r="B157" s="3" t="s">
        <v>70</v>
      </c>
      <c r="C157" s="4">
        <v>150</v>
      </c>
      <c r="D157" s="4">
        <f>C157*0.25</f>
        <v>37.5</v>
      </c>
      <c r="E157" s="4">
        <f>C157-D157</f>
        <v>112.5</v>
      </c>
      <c r="F157" s="4">
        <f>E157*2%</f>
        <v>2.25</v>
      </c>
      <c r="G157" s="4">
        <f>E157*0.4%</f>
        <v>0.45</v>
      </c>
      <c r="H157" s="4">
        <f>E157*16.3%</f>
        <v>18.337500000000002</v>
      </c>
      <c r="I157" s="4">
        <f>E157*80%</f>
        <v>90</v>
      </c>
      <c r="J157" s="4">
        <f>E157*0.12%</f>
        <v>0.13499999999999998</v>
      </c>
      <c r="K157" s="4">
        <f>E157*20%</f>
        <v>22.5</v>
      </c>
      <c r="L157" s="4">
        <v>0</v>
      </c>
      <c r="M157" s="4">
        <f>E157*10%</f>
        <v>11.25</v>
      </c>
      <c r="N157" s="4">
        <f>E157*58%</f>
        <v>65.25</v>
      </c>
      <c r="O157" s="4">
        <f>E157*23%</f>
        <v>25.875</v>
      </c>
      <c r="P157" s="4">
        <f>E157*0.9%</f>
        <v>1.0125000000000002</v>
      </c>
      <c r="Q157" s="4">
        <v>57</v>
      </c>
      <c r="R157" s="4">
        <f>C157/1000*57</f>
        <v>8.5499999999999989</v>
      </c>
    </row>
    <row r="158" spans="1:18" ht="18">
      <c r="A158" s="36"/>
      <c r="B158" s="3" t="s">
        <v>21</v>
      </c>
      <c r="C158" s="4">
        <v>15</v>
      </c>
      <c r="D158" s="4">
        <v>0</v>
      </c>
      <c r="E158" s="4">
        <f>C158-D158</f>
        <v>15</v>
      </c>
      <c r="F158" s="4">
        <f>E158*0.5%</f>
        <v>7.4999999999999997E-2</v>
      </c>
      <c r="G158" s="4">
        <f>E158*82.5%</f>
        <v>12.375</v>
      </c>
      <c r="H158" s="4">
        <f>E158*0.8%</f>
        <v>0.12</v>
      </c>
      <c r="I158" s="4">
        <f>E158*748%</f>
        <v>112.2</v>
      </c>
      <c r="J158" s="4">
        <v>0</v>
      </c>
      <c r="K158" s="4">
        <v>0</v>
      </c>
      <c r="L158" s="4">
        <f>E158*0.59%</f>
        <v>8.8499999999999995E-2</v>
      </c>
      <c r="M158" s="4">
        <f>E158*12%</f>
        <v>1.7999999999999998</v>
      </c>
      <c r="N158" s="4">
        <f>E158*19%</f>
        <v>2.85</v>
      </c>
      <c r="O158" s="4">
        <f>E158*0.4%</f>
        <v>0.06</v>
      </c>
      <c r="P158" s="4">
        <f>E158*0.2%</f>
        <v>0.03</v>
      </c>
      <c r="Q158" s="4">
        <v>480</v>
      </c>
      <c r="R158" s="24">
        <f>C158/1000*480</f>
        <v>7.1999999999999993</v>
      </c>
    </row>
    <row r="159" spans="1:18" ht="18">
      <c r="A159" s="36"/>
      <c r="B159" s="30" t="s">
        <v>68</v>
      </c>
      <c r="C159" s="7">
        <f t="shared" ref="C159:P159" si="18">SUM(C157:C158)</f>
        <v>165</v>
      </c>
      <c r="D159" s="7">
        <f t="shared" si="18"/>
        <v>37.5</v>
      </c>
      <c r="E159" s="7">
        <f t="shared" si="18"/>
        <v>127.5</v>
      </c>
      <c r="F159" s="7">
        <f t="shared" si="18"/>
        <v>2.3250000000000002</v>
      </c>
      <c r="G159" s="7">
        <f t="shared" si="18"/>
        <v>12.824999999999999</v>
      </c>
      <c r="H159" s="7">
        <f t="shared" si="18"/>
        <v>18.457500000000003</v>
      </c>
      <c r="I159" s="7">
        <f t="shared" si="18"/>
        <v>202.2</v>
      </c>
      <c r="J159" s="7">
        <f t="shared" si="18"/>
        <v>0.13499999999999998</v>
      </c>
      <c r="K159" s="7">
        <f t="shared" si="18"/>
        <v>22.5</v>
      </c>
      <c r="L159" s="7">
        <f t="shared" si="18"/>
        <v>8.8499999999999995E-2</v>
      </c>
      <c r="M159" s="7">
        <f t="shared" si="18"/>
        <v>13.05</v>
      </c>
      <c r="N159" s="7">
        <f t="shared" si="18"/>
        <v>68.099999999999994</v>
      </c>
      <c r="O159" s="7">
        <f t="shared" si="18"/>
        <v>25.934999999999999</v>
      </c>
      <c r="P159" s="7">
        <f t="shared" si="18"/>
        <v>1.0425000000000002</v>
      </c>
      <c r="Q159" s="7"/>
      <c r="R159" s="7">
        <f>SUM(R157:R158)</f>
        <v>15.749999999999998</v>
      </c>
    </row>
    <row r="160" spans="1:18" ht="21">
      <c r="A160" s="33"/>
      <c r="B160" s="130" t="s">
        <v>92</v>
      </c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2"/>
    </row>
    <row r="161" spans="1:18" ht="18">
      <c r="A161" s="33"/>
      <c r="B161" s="31" t="s">
        <v>68</v>
      </c>
      <c r="C161" s="7">
        <v>50</v>
      </c>
      <c r="D161" s="7">
        <v>0</v>
      </c>
      <c r="E161" s="7">
        <v>50</v>
      </c>
      <c r="F161" s="7">
        <f>E161*7.9%</f>
        <v>3.95</v>
      </c>
      <c r="G161" s="7">
        <f>E161*1%</f>
        <v>0.5</v>
      </c>
      <c r="H161" s="7">
        <f>E161*48.1%</f>
        <v>24.05</v>
      </c>
      <c r="I161" s="7">
        <f>E161*239%</f>
        <v>119.5</v>
      </c>
      <c r="J161" s="7">
        <f>E161*0.16%</f>
        <v>0.08</v>
      </c>
      <c r="K161" s="7">
        <v>0</v>
      </c>
      <c r="L161" s="7">
        <v>0</v>
      </c>
      <c r="M161" s="7">
        <f>E161*23%</f>
        <v>11.5</v>
      </c>
      <c r="N161" s="7">
        <f>E161*87%</f>
        <v>43.5</v>
      </c>
      <c r="O161" s="7">
        <f>E161*33%</f>
        <v>16.5</v>
      </c>
      <c r="P161" s="7">
        <f>E161*2%</f>
        <v>1</v>
      </c>
      <c r="Q161" s="7">
        <v>50</v>
      </c>
      <c r="R161" s="7">
        <f>C161/1000*50</f>
        <v>2.5</v>
      </c>
    </row>
    <row r="162" spans="1:18" ht="21">
      <c r="A162" s="33"/>
      <c r="B162" s="130" t="s">
        <v>97</v>
      </c>
      <c r="C162" s="131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  <c r="R162" s="132"/>
    </row>
    <row r="163" spans="1:18" s="66" customFormat="1" ht="18">
      <c r="A163" s="33"/>
      <c r="B163" s="4" t="s">
        <v>66</v>
      </c>
      <c r="C163" s="4">
        <v>15</v>
      </c>
      <c r="D163" s="4">
        <v>0</v>
      </c>
      <c r="E163" s="4">
        <v>15</v>
      </c>
      <c r="F163" s="4">
        <f>E163*5.2%</f>
        <v>0.78</v>
      </c>
      <c r="G163" s="4">
        <v>0</v>
      </c>
      <c r="H163" s="4">
        <f>E163*55%</f>
        <v>8.25</v>
      </c>
      <c r="I163" s="4">
        <f>E163*234%</f>
        <v>35.099999999999994</v>
      </c>
      <c r="J163" s="4">
        <f>E163*0.1%</f>
        <v>1.4999999999999999E-2</v>
      </c>
      <c r="K163" s="4">
        <f>E163*4%</f>
        <v>0.6</v>
      </c>
      <c r="L163" s="4">
        <v>0</v>
      </c>
      <c r="M163" s="4">
        <f>E163*160%</f>
        <v>24</v>
      </c>
      <c r="N163" s="4">
        <f>E163*146%</f>
        <v>21.9</v>
      </c>
      <c r="O163" s="4">
        <f>E163*105%</f>
        <v>15.75</v>
      </c>
      <c r="P163" s="4">
        <f>E163*3.2%</f>
        <v>0.48</v>
      </c>
      <c r="Q163" s="4">
        <v>350</v>
      </c>
      <c r="R163" s="4">
        <f>C163/1000*350</f>
        <v>5.25</v>
      </c>
    </row>
    <row r="164" spans="1:18" ht="18">
      <c r="A164" s="33"/>
      <c r="B164" s="4" t="s">
        <v>67</v>
      </c>
      <c r="C164" s="4">
        <v>10</v>
      </c>
      <c r="D164" s="4">
        <v>0</v>
      </c>
      <c r="E164" s="4">
        <v>10</v>
      </c>
      <c r="F164" s="4">
        <v>0</v>
      </c>
      <c r="G164" s="4">
        <v>0</v>
      </c>
      <c r="H164" s="4">
        <f>E164*99.8%</f>
        <v>9.98</v>
      </c>
      <c r="I164" s="4">
        <f>E164*379%</f>
        <v>37.9</v>
      </c>
      <c r="J164" s="4">
        <v>0</v>
      </c>
      <c r="K164" s="4">
        <v>0</v>
      </c>
      <c r="L164" s="4">
        <v>0</v>
      </c>
      <c r="M164" s="4">
        <f>E164*2%</f>
        <v>0.2</v>
      </c>
      <c r="N164" s="4">
        <v>0</v>
      </c>
      <c r="O164" s="4">
        <v>0</v>
      </c>
      <c r="P164" s="4">
        <f>E164*0.3%</f>
        <v>0.03</v>
      </c>
      <c r="Q164" s="4">
        <v>60</v>
      </c>
      <c r="R164" s="4">
        <f>C164/1000*60</f>
        <v>0.6</v>
      </c>
    </row>
    <row r="165" spans="1:18" ht="18">
      <c r="A165" s="33"/>
      <c r="B165" s="31" t="s">
        <v>68</v>
      </c>
      <c r="C165" s="7">
        <v>25</v>
      </c>
      <c r="D165" s="7">
        <f t="shared" ref="D165" si="19">SUM(D163:D164)</f>
        <v>0</v>
      </c>
      <c r="E165" s="7">
        <v>150</v>
      </c>
      <c r="F165" s="7">
        <f t="shared" ref="F165:P165" si="20">SUM(F163:F164)</f>
        <v>0.78</v>
      </c>
      <c r="G165" s="7">
        <f t="shared" si="20"/>
        <v>0</v>
      </c>
      <c r="H165" s="7">
        <f t="shared" si="20"/>
        <v>18.23</v>
      </c>
      <c r="I165" s="7">
        <f t="shared" si="20"/>
        <v>73</v>
      </c>
      <c r="J165" s="7">
        <f t="shared" si="20"/>
        <v>1.4999999999999999E-2</v>
      </c>
      <c r="K165" s="7">
        <f t="shared" si="20"/>
        <v>0.6</v>
      </c>
      <c r="L165" s="7">
        <f t="shared" si="20"/>
        <v>0</v>
      </c>
      <c r="M165" s="7">
        <f t="shared" si="20"/>
        <v>24.2</v>
      </c>
      <c r="N165" s="7">
        <f t="shared" si="20"/>
        <v>21.9</v>
      </c>
      <c r="O165" s="7">
        <f t="shared" si="20"/>
        <v>15.75</v>
      </c>
      <c r="P165" s="7">
        <f t="shared" si="20"/>
        <v>0.51</v>
      </c>
      <c r="Q165" s="7"/>
      <c r="R165" s="7">
        <f>SUM(R163:R164)</f>
        <v>5.85</v>
      </c>
    </row>
    <row r="166" spans="1:18" ht="21">
      <c r="A166" s="33"/>
      <c r="B166" s="130" t="s">
        <v>125</v>
      </c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4"/>
    </row>
    <row r="167" spans="1:18" ht="18">
      <c r="A167" s="33"/>
      <c r="B167" s="31" t="s">
        <v>68</v>
      </c>
      <c r="C167" s="7">
        <v>125</v>
      </c>
      <c r="D167" s="7">
        <v>0</v>
      </c>
      <c r="E167" s="7">
        <f>C167-D167</f>
        <v>125</v>
      </c>
      <c r="F167" s="7">
        <f>E167*0.6%</f>
        <v>0.75</v>
      </c>
      <c r="G167" s="7">
        <f>E167*0.2%</f>
        <v>0.25</v>
      </c>
      <c r="H167" s="7">
        <f>E167*15%</f>
        <v>18.75</v>
      </c>
      <c r="I167" s="7">
        <f>E167*65%</f>
        <v>81.25</v>
      </c>
      <c r="J167" s="7">
        <f>E167*0.05%</f>
        <v>6.25E-2</v>
      </c>
      <c r="K167" s="7">
        <f>E167*6%</f>
        <v>7.5</v>
      </c>
      <c r="L167" s="7">
        <v>0</v>
      </c>
      <c r="M167" s="7">
        <f>E167*45%</f>
        <v>56.25</v>
      </c>
      <c r="N167" s="7">
        <f>E167*22%</f>
        <v>27.5</v>
      </c>
      <c r="O167" s="7">
        <f>E167*17%</f>
        <v>21.25</v>
      </c>
      <c r="P167" s="7">
        <f>E167*0.6%</f>
        <v>0.75</v>
      </c>
      <c r="Q167" s="7">
        <v>60</v>
      </c>
      <c r="R167" s="7">
        <f>C167/1000*60</f>
        <v>7.5</v>
      </c>
    </row>
    <row r="168" spans="1:18" ht="21">
      <c r="A168" s="36"/>
      <c r="B168" s="121" t="s">
        <v>94</v>
      </c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2"/>
      <c r="R168" s="123"/>
    </row>
    <row r="169" spans="1:18" ht="18">
      <c r="A169" s="36"/>
      <c r="B169" s="31" t="s">
        <v>68</v>
      </c>
      <c r="C169" s="27">
        <v>3</v>
      </c>
      <c r="D169" s="7">
        <v>0</v>
      </c>
      <c r="E169" s="27">
        <f>C169-D169</f>
        <v>3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20</v>
      </c>
      <c r="R169" s="27">
        <f>C169/1000*20</f>
        <v>0.06</v>
      </c>
    </row>
    <row r="170" spans="1:18" ht="22.5" customHeight="1">
      <c r="A170" s="3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23.4">
      <c r="A171" s="36"/>
      <c r="B171" s="25" t="s">
        <v>68</v>
      </c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>
        <f>R169+R167+R165+R161+R159+R155</f>
        <v>61.01</v>
      </c>
    </row>
    <row r="176" spans="1:18" ht="23.25" customHeight="1">
      <c r="A176" s="254" t="s">
        <v>136</v>
      </c>
      <c r="B176" s="255"/>
      <c r="C176" s="255"/>
      <c r="D176" s="255"/>
      <c r="E176" s="255"/>
      <c r="F176" s="255"/>
      <c r="G176" s="255"/>
      <c r="H176" s="255"/>
      <c r="I176" s="255"/>
      <c r="J176" s="255"/>
      <c r="K176" s="255"/>
      <c r="L176" s="255"/>
      <c r="M176" s="255"/>
      <c r="N176" s="255"/>
      <c r="O176" s="255"/>
      <c r="P176" s="255"/>
      <c r="Q176" s="255"/>
      <c r="R176" s="256"/>
    </row>
    <row r="177" spans="1:18" ht="23.25" customHeight="1">
      <c r="A177" s="257"/>
      <c r="B177" s="258"/>
      <c r="C177" s="258"/>
      <c r="D177" s="258"/>
      <c r="E177" s="258"/>
      <c r="F177" s="258"/>
      <c r="G177" s="258"/>
      <c r="H177" s="258"/>
      <c r="I177" s="258"/>
      <c r="J177" s="258"/>
      <c r="K177" s="258"/>
      <c r="L177" s="258"/>
      <c r="M177" s="258"/>
      <c r="N177" s="258"/>
      <c r="O177" s="258"/>
      <c r="P177" s="258"/>
      <c r="Q177" s="258"/>
      <c r="R177" s="259"/>
    </row>
    <row r="178" spans="1:18" ht="23.25" customHeight="1">
      <c r="A178" s="260"/>
      <c r="B178" s="261"/>
      <c r="C178" s="261"/>
      <c r="D178" s="261"/>
      <c r="E178" s="261"/>
      <c r="F178" s="261"/>
      <c r="G178" s="261"/>
      <c r="H178" s="261"/>
      <c r="I178" s="261"/>
      <c r="J178" s="261"/>
      <c r="K178" s="261"/>
      <c r="L178" s="261"/>
      <c r="M178" s="261"/>
      <c r="N178" s="261"/>
      <c r="O178" s="261"/>
      <c r="P178" s="261"/>
      <c r="Q178" s="261"/>
      <c r="R178" s="262"/>
    </row>
    <row r="179" spans="1:18" ht="15.6">
      <c r="A179" s="185"/>
      <c r="B179" s="135" t="s">
        <v>0</v>
      </c>
      <c r="C179" s="136" t="s">
        <v>17</v>
      </c>
      <c r="D179" s="139" t="s">
        <v>19</v>
      </c>
      <c r="E179" s="139" t="s">
        <v>18</v>
      </c>
      <c r="F179" s="142" t="s">
        <v>1</v>
      </c>
      <c r="G179" s="142" t="s">
        <v>2</v>
      </c>
      <c r="H179" s="142" t="s">
        <v>3</v>
      </c>
      <c r="I179" s="142" t="s">
        <v>4</v>
      </c>
      <c r="J179" s="145" t="s">
        <v>5</v>
      </c>
      <c r="K179" s="145"/>
      <c r="L179" s="145"/>
      <c r="M179" s="145" t="s">
        <v>6</v>
      </c>
      <c r="N179" s="145"/>
      <c r="O179" s="145"/>
      <c r="P179" s="145"/>
      <c r="Q179" s="146" t="s">
        <v>65</v>
      </c>
      <c r="R179" s="218" t="s">
        <v>102</v>
      </c>
    </row>
    <row r="180" spans="1:18">
      <c r="A180" s="186"/>
      <c r="B180" s="135"/>
      <c r="C180" s="137"/>
      <c r="D180" s="140"/>
      <c r="E180" s="140"/>
      <c r="F180" s="143"/>
      <c r="G180" s="143"/>
      <c r="H180" s="143"/>
      <c r="I180" s="143"/>
      <c r="J180" s="142" t="s">
        <v>7</v>
      </c>
      <c r="K180" s="152" t="s">
        <v>8</v>
      </c>
      <c r="L180" s="142" t="s">
        <v>9</v>
      </c>
      <c r="M180" s="142" t="s">
        <v>10</v>
      </c>
      <c r="N180" s="142" t="s">
        <v>11</v>
      </c>
      <c r="O180" s="142" t="s">
        <v>12</v>
      </c>
      <c r="P180" s="142" t="s">
        <v>13</v>
      </c>
      <c r="Q180" s="147"/>
      <c r="R180" s="219"/>
    </row>
    <row r="181" spans="1:18" ht="20.399999999999999">
      <c r="A181" s="32"/>
      <c r="B181" s="2"/>
      <c r="C181" s="138"/>
      <c r="D181" s="141"/>
      <c r="E181" s="141"/>
      <c r="F181" s="144"/>
      <c r="G181" s="144"/>
      <c r="H181" s="144"/>
      <c r="I181" s="144"/>
      <c r="J181" s="144"/>
      <c r="K181" s="153"/>
      <c r="L181" s="144"/>
      <c r="M181" s="144"/>
      <c r="N181" s="144"/>
      <c r="O181" s="144"/>
      <c r="P181" s="144"/>
      <c r="Q181" s="148"/>
      <c r="R181" s="220"/>
    </row>
    <row r="182" spans="1:18" ht="20.399999999999999">
      <c r="A182" s="32"/>
      <c r="B182" s="158" t="s">
        <v>113</v>
      </c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60"/>
    </row>
    <row r="183" spans="1:18" ht="18">
      <c r="A183" s="33"/>
      <c r="B183" s="3" t="s">
        <v>72</v>
      </c>
      <c r="C183" s="4">
        <v>90</v>
      </c>
      <c r="D183" s="4">
        <f>C183*25%</f>
        <v>22.5</v>
      </c>
      <c r="E183" s="4">
        <v>75</v>
      </c>
      <c r="F183" s="4">
        <f>E183*18.2%</f>
        <v>13.65</v>
      </c>
      <c r="G183" s="4">
        <f>E183*18.4%</f>
        <v>13.799999999999999</v>
      </c>
      <c r="H183" s="4">
        <f>E183*0.7%</f>
        <v>0.52499999999999991</v>
      </c>
      <c r="I183" s="4">
        <f>E183*241%</f>
        <v>180.75</v>
      </c>
      <c r="J183" s="4">
        <f>E183*0.07%</f>
        <v>5.2500000000000005E-2</v>
      </c>
      <c r="K183" s="4">
        <v>0</v>
      </c>
      <c r="L183" s="4">
        <f>E183*0.07%</f>
        <v>5.2500000000000005E-2</v>
      </c>
      <c r="M183" s="4">
        <f>E183*16%</f>
        <v>12</v>
      </c>
      <c r="N183" s="4">
        <f>E183*165%</f>
        <v>123.75</v>
      </c>
      <c r="O183" s="4">
        <f>E183*18%</f>
        <v>13.5</v>
      </c>
      <c r="P183" s="4">
        <f>E183*1.6%</f>
        <v>1.2</v>
      </c>
      <c r="Q183" s="4">
        <v>270</v>
      </c>
      <c r="R183" s="4">
        <f>C183/1000*270</f>
        <v>24.3</v>
      </c>
    </row>
    <row r="184" spans="1:18" ht="18">
      <c r="A184" s="26"/>
      <c r="B184" s="3" t="s">
        <v>71</v>
      </c>
      <c r="C184" s="4">
        <v>14</v>
      </c>
      <c r="D184" s="4">
        <f>C184*0.16</f>
        <v>2.2400000000000002</v>
      </c>
      <c r="E184" s="4">
        <f>C184-D184</f>
        <v>11.76</v>
      </c>
      <c r="F184" s="4">
        <f>E184*1.4%</f>
        <v>0.16463999999999998</v>
      </c>
      <c r="G184">
        <v>0</v>
      </c>
      <c r="H184" s="4">
        <f>E184*9.1%</f>
        <v>1.07016</v>
      </c>
      <c r="I184" s="4">
        <f>E184*41%</f>
        <v>4.8215999999999992</v>
      </c>
      <c r="J184" s="4">
        <f>E184*0.05%</f>
        <v>5.8799999999999998E-3</v>
      </c>
      <c r="K184" s="4">
        <f>E184*10%</f>
        <v>1.1759999999999999</v>
      </c>
      <c r="L184" s="4">
        <v>0</v>
      </c>
      <c r="M184" s="4">
        <f>E184*31%</f>
        <v>3.6456</v>
      </c>
      <c r="N184" s="4">
        <f>E184*58%</f>
        <v>6.8207999999999993</v>
      </c>
      <c r="O184" s="4">
        <f>E184*14%</f>
        <v>1.6464000000000001</v>
      </c>
      <c r="P184" s="4">
        <f>E184*0.8%</f>
        <v>9.4079999999999997E-2</v>
      </c>
      <c r="Q184" s="4">
        <v>40</v>
      </c>
      <c r="R184" s="4">
        <f>C184/1000*40</f>
        <v>0.56000000000000005</v>
      </c>
    </row>
    <row r="185" spans="1:18" ht="18">
      <c r="A185" s="36"/>
      <c r="B185" s="3" t="s">
        <v>70</v>
      </c>
      <c r="C185" s="4">
        <v>90</v>
      </c>
      <c r="D185" s="4">
        <f>C185*0.25</f>
        <v>22.5</v>
      </c>
      <c r="E185" s="4">
        <f>C185-D185</f>
        <v>67.5</v>
      </c>
      <c r="F185" s="4">
        <f>E185*2%</f>
        <v>1.35</v>
      </c>
      <c r="G185" s="4">
        <f>E185*0.4%</f>
        <v>0.27</v>
      </c>
      <c r="H185" s="4">
        <f>E185*16.3%</f>
        <v>11.002500000000001</v>
      </c>
      <c r="I185" s="4">
        <f>E185*80%</f>
        <v>54</v>
      </c>
      <c r="J185" s="4">
        <f>E185*0.12%</f>
        <v>8.0999999999999989E-2</v>
      </c>
      <c r="K185" s="4">
        <f>E185*20%</f>
        <v>13.5</v>
      </c>
      <c r="L185" s="4">
        <v>0</v>
      </c>
      <c r="M185" s="4">
        <f>E185*10%</f>
        <v>6.75</v>
      </c>
      <c r="N185" s="4">
        <f>E185*58%</f>
        <v>39.15</v>
      </c>
      <c r="O185" s="4">
        <f>E185*23%</f>
        <v>15.525</v>
      </c>
      <c r="P185" s="4">
        <f>E185*0.9%</f>
        <v>0.60750000000000004</v>
      </c>
      <c r="Q185" s="4">
        <v>57</v>
      </c>
      <c r="R185" s="4">
        <f>C185/1000*57</f>
        <v>5.13</v>
      </c>
    </row>
    <row r="186" spans="1:18" ht="18">
      <c r="A186" s="36"/>
      <c r="B186" s="3" t="s">
        <v>21</v>
      </c>
      <c r="C186" s="4">
        <v>10</v>
      </c>
      <c r="D186" s="4">
        <v>0</v>
      </c>
      <c r="E186" s="4">
        <f>C186-D186</f>
        <v>10</v>
      </c>
      <c r="F186" s="4">
        <f>E186*0.5%</f>
        <v>0.05</v>
      </c>
      <c r="G186" s="4">
        <f>E186*82.5%</f>
        <v>8.25</v>
      </c>
      <c r="H186" s="4">
        <f>E186*0.8%</f>
        <v>0.08</v>
      </c>
      <c r="I186" s="4">
        <f>E186*748%</f>
        <v>74.800000000000011</v>
      </c>
      <c r="J186" s="4">
        <v>0</v>
      </c>
      <c r="K186" s="4">
        <v>0</v>
      </c>
      <c r="L186" s="4">
        <f>E186*0.59%</f>
        <v>5.8999999999999997E-2</v>
      </c>
      <c r="M186" s="4">
        <f>E186*12%</f>
        <v>1.2</v>
      </c>
      <c r="N186" s="4">
        <f>E186*19%</f>
        <v>1.9</v>
      </c>
      <c r="O186" s="4">
        <f>E186*0.4%</f>
        <v>0.04</v>
      </c>
      <c r="P186" s="4">
        <f>E186*0.2%</f>
        <v>0.02</v>
      </c>
      <c r="Q186" s="4">
        <v>480</v>
      </c>
      <c r="R186" s="24">
        <f>C186/1000*480</f>
        <v>4.8</v>
      </c>
    </row>
    <row r="187" spans="1:18" ht="18">
      <c r="A187" s="26"/>
      <c r="B187" s="30" t="s">
        <v>68</v>
      </c>
      <c r="C187" s="7">
        <f t="shared" ref="C187:P187" si="21">SUM(C183:C186)</f>
        <v>204</v>
      </c>
      <c r="D187" s="7">
        <f t="shared" si="21"/>
        <v>47.24</v>
      </c>
      <c r="E187" s="7">
        <f t="shared" si="21"/>
        <v>164.26</v>
      </c>
      <c r="F187" s="7">
        <f t="shared" si="21"/>
        <v>15.214640000000001</v>
      </c>
      <c r="G187" s="7">
        <f t="shared" si="21"/>
        <v>22.32</v>
      </c>
      <c r="H187" s="7">
        <f t="shared" si="21"/>
        <v>12.677660000000001</v>
      </c>
      <c r="I187" s="7">
        <f t="shared" si="21"/>
        <v>314.3716</v>
      </c>
      <c r="J187" s="7">
        <f t="shared" si="21"/>
        <v>0.13938</v>
      </c>
      <c r="K187" s="7">
        <f t="shared" si="21"/>
        <v>14.676</v>
      </c>
      <c r="L187" s="7">
        <f t="shared" si="21"/>
        <v>0.1115</v>
      </c>
      <c r="M187" s="7">
        <f t="shared" si="21"/>
        <v>23.595600000000001</v>
      </c>
      <c r="N187" s="7">
        <f t="shared" si="21"/>
        <v>171.6208</v>
      </c>
      <c r="O187" s="7">
        <f t="shared" si="21"/>
        <v>30.711399999999998</v>
      </c>
      <c r="P187" s="7">
        <f t="shared" si="21"/>
        <v>1.9215800000000001</v>
      </c>
      <c r="Q187" s="7"/>
      <c r="R187" s="7">
        <f>SUM(R183:R186)</f>
        <v>34.79</v>
      </c>
    </row>
    <row r="188" spans="1:18" ht="21">
      <c r="A188" s="33"/>
      <c r="B188" s="154" t="s">
        <v>114</v>
      </c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6"/>
    </row>
    <row r="189" spans="1:18" ht="18">
      <c r="A189" s="33"/>
      <c r="B189" s="3" t="s">
        <v>70</v>
      </c>
      <c r="C189" s="4">
        <v>25</v>
      </c>
      <c r="D189" s="4">
        <f>C189*0.25</f>
        <v>6.25</v>
      </c>
      <c r="E189" s="4">
        <f>C189-D189</f>
        <v>18.75</v>
      </c>
      <c r="F189" s="4">
        <f>E189*2%</f>
        <v>0.375</v>
      </c>
      <c r="G189" s="4">
        <f>E189*0.4%</f>
        <v>7.4999999999999997E-2</v>
      </c>
      <c r="H189" s="4">
        <f>E189*16.3%</f>
        <v>3.0562499999999999</v>
      </c>
      <c r="I189" s="4">
        <f>E189*80%</f>
        <v>15</v>
      </c>
      <c r="J189" s="4">
        <f>E189*0.12%</f>
        <v>2.2499999999999999E-2</v>
      </c>
      <c r="K189" s="4">
        <f>E189*20%</f>
        <v>3.75</v>
      </c>
      <c r="L189" s="4">
        <v>0</v>
      </c>
      <c r="M189" s="4">
        <f>E189*10%</f>
        <v>1.875</v>
      </c>
      <c r="N189" s="4">
        <f>E189*58%</f>
        <v>10.875</v>
      </c>
      <c r="O189" s="4">
        <f>E189*23%</f>
        <v>4.3125</v>
      </c>
      <c r="P189" s="4">
        <f>E189*0.9%</f>
        <v>0.16875000000000001</v>
      </c>
      <c r="Q189" s="4">
        <v>57</v>
      </c>
      <c r="R189" s="4">
        <f>C189/1000*57</f>
        <v>1.425</v>
      </c>
    </row>
    <row r="190" spans="1:18" ht="18">
      <c r="A190" s="33"/>
      <c r="B190" s="3" t="s">
        <v>14</v>
      </c>
      <c r="C190" s="4">
        <v>25</v>
      </c>
      <c r="D190" s="4">
        <f>C190*0.2</f>
        <v>5</v>
      </c>
      <c r="E190" s="4">
        <f>C190-D190</f>
        <v>20</v>
      </c>
      <c r="F190" s="4">
        <f>E190*1.3%</f>
        <v>0.26</v>
      </c>
      <c r="G190" s="6">
        <f>E190*0.001</f>
        <v>0.02</v>
      </c>
      <c r="H190" s="4">
        <f>E190*0.072</f>
        <v>1.44</v>
      </c>
      <c r="I190" s="4">
        <f>E190*0.3</f>
        <v>6</v>
      </c>
      <c r="J190" s="4">
        <f>E190*0.06%</f>
        <v>1.1999999999999999E-2</v>
      </c>
      <c r="K190" s="4">
        <f>E190*5%</f>
        <v>1</v>
      </c>
      <c r="L190" s="4">
        <v>0</v>
      </c>
      <c r="M190" s="4">
        <f>E190*51%</f>
        <v>10.199999999999999</v>
      </c>
      <c r="N190" s="4">
        <f>E190*55%</f>
        <v>11</v>
      </c>
      <c r="O190" s="4">
        <f>E190*38%</f>
        <v>7.6</v>
      </c>
      <c r="P190" s="4">
        <f>E190*0.7%</f>
        <v>0.13999999999999999</v>
      </c>
      <c r="Q190" s="4">
        <v>60</v>
      </c>
      <c r="R190" s="3">
        <f>C190/1000*60</f>
        <v>1.5</v>
      </c>
    </row>
    <row r="191" spans="1:18" ht="18">
      <c r="A191" s="33"/>
      <c r="B191" s="1" t="s">
        <v>69</v>
      </c>
      <c r="C191" s="4">
        <v>25</v>
      </c>
      <c r="D191" s="4">
        <f>C191*0.2</f>
        <v>5</v>
      </c>
      <c r="E191" s="4">
        <f>C191-D191</f>
        <v>20</v>
      </c>
      <c r="F191" s="4">
        <f>E191*0.015</f>
        <v>0.3</v>
      </c>
      <c r="G191" s="4">
        <f>E191*0.001</f>
        <v>0.02</v>
      </c>
      <c r="H191" s="4">
        <f>E191*0.091</f>
        <v>1.8199999999999998</v>
      </c>
      <c r="I191" s="4">
        <f>E191*0.42</f>
        <v>8.4</v>
      </c>
      <c r="J191" s="4">
        <f>E191*0.02%</f>
        <v>4.0000000000000001E-3</v>
      </c>
      <c r="K191" s="4">
        <f>E191*10%</f>
        <v>2</v>
      </c>
      <c r="L191" s="4">
        <v>0</v>
      </c>
      <c r="M191" s="4">
        <f>E191*37%</f>
        <v>7.4</v>
      </c>
      <c r="N191" s="4">
        <f>E191*43%</f>
        <v>8.6</v>
      </c>
      <c r="O191" s="4">
        <f>E191*22%</f>
        <v>4.4000000000000004</v>
      </c>
      <c r="P191" s="4">
        <f>E191*1.4%</f>
        <v>0.27999999999999997</v>
      </c>
      <c r="Q191" s="4">
        <v>60</v>
      </c>
      <c r="R191" s="4">
        <f>C191/1000*60</f>
        <v>1.5</v>
      </c>
    </row>
    <row r="192" spans="1:18" s="63" customFormat="1" ht="15.75" customHeight="1">
      <c r="A192" s="70"/>
      <c r="B192" s="1" t="s">
        <v>74</v>
      </c>
      <c r="C192" s="62">
        <v>10</v>
      </c>
      <c r="D192" s="62">
        <v>0</v>
      </c>
      <c r="E192" s="62">
        <f>C192-D192</f>
        <v>10</v>
      </c>
      <c r="F192" s="62">
        <v>0</v>
      </c>
      <c r="G192" s="69">
        <f>E192*0.999</f>
        <v>9.99</v>
      </c>
      <c r="H192" s="62">
        <v>0</v>
      </c>
      <c r="I192" s="62">
        <f>E192*8.99</f>
        <v>89.9</v>
      </c>
      <c r="J192" s="62">
        <f>E192*0.06%</f>
        <v>5.9999999999999993E-3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180</v>
      </c>
      <c r="R192" s="62">
        <f>C192/1000*180</f>
        <v>1.8</v>
      </c>
    </row>
    <row r="193" spans="1:18" ht="18">
      <c r="A193" s="33"/>
      <c r="B193" s="1" t="s">
        <v>16</v>
      </c>
      <c r="C193" s="4">
        <v>9</v>
      </c>
      <c r="D193" s="4">
        <v>0</v>
      </c>
      <c r="E193" s="4">
        <f>C193-D193</f>
        <v>9</v>
      </c>
      <c r="F193" s="4">
        <v>0</v>
      </c>
      <c r="G193" s="6">
        <f>E193*0.999</f>
        <v>8.9909999999999997</v>
      </c>
      <c r="H193" s="4">
        <v>0</v>
      </c>
      <c r="I193" s="4">
        <f>E193*8.99</f>
        <v>80.91</v>
      </c>
      <c r="J193" s="4">
        <f>E193*0.06%</f>
        <v>5.3999999999999994E-3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150</v>
      </c>
      <c r="R193" s="4">
        <f>C193/1000*150</f>
        <v>1.3499999999999999</v>
      </c>
    </row>
    <row r="194" spans="1:18" ht="18">
      <c r="A194" s="33"/>
      <c r="B194" s="30" t="s">
        <v>68</v>
      </c>
      <c r="C194" s="7">
        <f t="shared" ref="C194:P194" si="22">SUM(C189:C193)</f>
        <v>94</v>
      </c>
      <c r="D194" s="7">
        <f t="shared" si="22"/>
        <v>16.25</v>
      </c>
      <c r="E194" s="7">
        <f t="shared" si="22"/>
        <v>77.75</v>
      </c>
      <c r="F194" s="7">
        <f t="shared" si="22"/>
        <v>0.93500000000000005</v>
      </c>
      <c r="G194" s="7">
        <f t="shared" si="22"/>
        <v>19.096</v>
      </c>
      <c r="H194" s="7">
        <f t="shared" si="22"/>
        <v>6.3162500000000001</v>
      </c>
      <c r="I194" s="7">
        <f t="shared" si="22"/>
        <v>200.21</v>
      </c>
      <c r="J194" s="7">
        <f t="shared" si="22"/>
        <v>4.9899999999999993E-2</v>
      </c>
      <c r="K194" s="7">
        <f t="shared" si="22"/>
        <v>6.75</v>
      </c>
      <c r="L194" s="7">
        <f t="shared" si="22"/>
        <v>0</v>
      </c>
      <c r="M194" s="7">
        <f t="shared" si="22"/>
        <v>19.475000000000001</v>
      </c>
      <c r="N194" s="7">
        <f t="shared" si="22"/>
        <v>30.475000000000001</v>
      </c>
      <c r="O194" s="7">
        <f t="shared" si="22"/>
        <v>16.3125</v>
      </c>
      <c r="P194" s="7">
        <f t="shared" si="22"/>
        <v>0.58874999999999988</v>
      </c>
      <c r="Q194" s="7"/>
      <c r="R194" s="7">
        <f>SUM(R189:R193)</f>
        <v>7.5749999999999993</v>
      </c>
    </row>
    <row r="195" spans="1:18" ht="21">
      <c r="A195" s="33"/>
      <c r="B195" s="130" t="s">
        <v>92</v>
      </c>
      <c r="C195" s="131"/>
      <c r="D195" s="131"/>
      <c r="E195" s="131"/>
      <c r="F195" s="131"/>
      <c r="G195" s="131"/>
      <c r="H195" s="131"/>
      <c r="I195" s="131"/>
      <c r="J195" s="131"/>
      <c r="K195" s="131"/>
      <c r="L195" s="131"/>
      <c r="M195" s="131"/>
      <c r="N195" s="131"/>
      <c r="O195" s="131"/>
      <c r="P195" s="131"/>
      <c r="Q195" s="131"/>
      <c r="R195" s="132"/>
    </row>
    <row r="196" spans="1:18" ht="18">
      <c r="A196" s="33"/>
      <c r="B196" s="31" t="s">
        <v>68</v>
      </c>
      <c r="C196" s="7">
        <v>30</v>
      </c>
      <c r="D196" s="7">
        <v>0</v>
      </c>
      <c r="E196" s="7">
        <v>30</v>
      </c>
      <c r="F196" s="7">
        <f>E196*7.9%</f>
        <v>2.37</v>
      </c>
      <c r="G196" s="7">
        <f>E196*1%</f>
        <v>0.3</v>
      </c>
      <c r="H196" s="7">
        <f>E196*48.1%</f>
        <v>14.430000000000001</v>
      </c>
      <c r="I196" s="7">
        <f>E196*239%</f>
        <v>71.7</v>
      </c>
      <c r="J196" s="7">
        <f>E196*0.16%</f>
        <v>4.8000000000000001E-2</v>
      </c>
      <c r="K196" s="7">
        <v>0</v>
      </c>
      <c r="L196" s="7">
        <v>0</v>
      </c>
      <c r="M196" s="7">
        <f>E196*23%</f>
        <v>6.9</v>
      </c>
      <c r="N196" s="7">
        <f>E196*87%</f>
        <v>26.1</v>
      </c>
      <c r="O196" s="7">
        <f>E196*33%</f>
        <v>9.9</v>
      </c>
      <c r="P196" s="7">
        <f>E196*2%</f>
        <v>0.6</v>
      </c>
      <c r="Q196" s="7">
        <v>50</v>
      </c>
      <c r="R196" s="7">
        <f>C196/1000*50</f>
        <v>1.5</v>
      </c>
    </row>
    <row r="197" spans="1:18" ht="21">
      <c r="A197" s="33"/>
      <c r="B197" s="130" t="s">
        <v>93</v>
      </c>
      <c r="C197" s="131"/>
      <c r="D197" s="131"/>
      <c r="E197" s="131"/>
      <c r="F197" s="131"/>
      <c r="G197" s="131"/>
      <c r="H197" s="131"/>
      <c r="I197" s="131"/>
      <c r="J197" s="131"/>
      <c r="K197" s="131"/>
      <c r="L197" s="131"/>
      <c r="M197" s="131"/>
      <c r="N197" s="131"/>
      <c r="O197" s="131"/>
      <c r="P197" s="131"/>
      <c r="Q197" s="131"/>
      <c r="R197" s="132"/>
    </row>
    <row r="198" spans="1:18" ht="18">
      <c r="A198" s="33"/>
      <c r="B198" s="4" t="s">
        <v>51</v>
      </c>
      <c r="C198" s="4">
        <v>1</v>
      </c>
      <c r="D198" s="4">
        <v>0</v>
      </c>
      <c r="E198" s="4">
        <f>C198-D198</f>
        <v>1</v>
      </c>
      <c r="F198" s="4">
        <f>E198*21.74%</f>
        <v>0.21739999999999998</v>
      </c>
      <c r="G198" s="4">
        <f>E198*7.61%</f>
        <v>7.6100000000000001E-2</v>
      </c>
      <c r="H198" s="4">
        <f>E198*2.86%</f>
        <v>2.86E-2</v>
      </c>
      <c r="I198" s="4">
        <f>E198*9.18%</f>
        <v>9.1799999999999993E-2</v>
      </c>
      <c r="J198" s="4">
        <f>E198*4.7%</f>
        <v>4.7E-2</v>
      </c>
      <c r="K198" s="4">
        <f>E198*11%</f>
        <v>0.11</v>
      </c>
      <c r="L198" s="4">
        <f>E198*5.6%</f>
        <v>5.5999999999999994E-2</v>
      </c>
      <c r="M198" s="4">
        <f>E198*50%</f>
        <v>0.5</v>
      </c>
      <c r="N198" s="4">
        <f>E198*10%</f>
        <v>0.1</v>
      </c>
      <c r="O198" s="4">
        <f>E198*110%</f>
        <v>1.1000000000000001</v>
      </c>
      <c r="P198" s="4">
        <f>E198*456%</f>
        <v>4.5599999999999996</v>
      </c>
      <c r="Q198" s="4">
        <v>950</v>
      </c>
      <c r="R198" s="4">
        <f>C198/1000*950</f>
        <v>0.95000000000000007</v>
      </c>
    </row>
    <row r="199" spans="1:18" ht="18">
      <c r="A199" s="33"/>
      <c r="B199" s="4" t="s">
        <v>67</v>
      </c>
      <c r="C199" s="4">
        <v>15</v>
      </c>
      <c r="D199" s="4">
        <v>0</v>
      </c>
      <c r="E199" s="4">
        <v>15</v>
      </c>
      <c r="F199" s="4">
        <v>0</v>
      </c>
      <c r="G199" s="4">
        <v>0</v>
      </c>
      <c r="H199" s="4">
        <f>E199*99.8%</f>
        <v>14.97</v>
      </c>
      <c r="I199" s="4">
        <f>E199*379%</f>
        <v>56.85</v>
      </c>
      <c r="J199" s="4">
        <v>0</v>
      </c>
      <c r="K199" s="4">
        <v>0</v>
      </c>
      <c r="L199" s="4">
        <v>0</v>
      </c>
      <c r="M199" s="4">
        <f>E199*2%</f>
        <v>0.3</v>
      </c>
      <c r="N199" s="4">
        <v>0</v>
      </c>
      <c r="O199" s="4">
        <v>0</v>
      </c>
      <c r="P199" s="4">
        <f>E199*0.3%</f>
        <v>4.4999999999999998E-2</v>
      </c>
      <c r="Q199" s="4">
        <v>60</v>
      </c>
      <c r="R199" s="4">
        <f>C199/1000*60</f>
        <v>0.89999999999999991</v>
      </c>
    </row>
    <row r="200" spans="1:18" ht="18">
      <c r="A200" s="33"/>
      <c r="B200" s="31" t="s">
        <v>68</v>
      </c>
      <c r="C200" s="7">
        <v>16</v>
      </c>
      <c r="D200" s="7">
        <f>SUM(D199:D199)</f>
        <v>0</v>
      </c>
      <c r="E200" s="7">
        <v>150</v>
      </c>
      <c r="F200" s="7">
        <f t="shared" ref="F200:P200" si="23">SUM(F199:F199)</f>
        <v>0</v>
      </c>
      <c r="G200" s="7">
        <f t="shared" si="23"/>
        <v>0</v>
      </c>
      <c r="H200" s="7">
        <f t="shared" si="23"/>
        <v>14.97</v>
      </c>
      <c r="I200" s="7">
        <f t="shared" si="23"/>
        <v>56.85</v>
      </c>
      <c r="J200" s="7">
        <f t="shared" si="23"/>
        <v>0</v>
      </c>
      <c r="K200" s="7">
        <f t="shared" si="23"/>
        <v>0</v>
      </c>
      <c r="L200" s="7">
        <f t="shared" si="23"/>
        <v>0</v>
      </c>
      <c r="M200" s="7">
        <f t="shared" si="23"/>
        <v>0.3</v>
      </c>
      <c r="N200" s="7">
        <f t="shared" si="23"/>
        <v>0</v>
      </c>
      <c r="O200" s="7">
        <f t="shared" si="23"/>
        <v>0</v>
      </c>
      <c r="P200" s="7">
        <f t="shared" si="23"/>
        <v>4.4999999999999998E-2</v>
      </c>
      <c r="Q200" s="7"/>
      <c r="R200" s="7">
        <f>SUM(R198:R199)</f>
        <v>1.85</v>
      </c>
    </row>
    <row r="201" spans="1:18" ht="18">
      <c r="A201" s="33"/>
      <c r="B201" s="212" t="s">
        <v>98</v>
      </c>
      <c r="C201" s="216"/>
      <c r="D201" s="216"/>
      <c r="E201" s="216"/>
      <c r="F201" s="216"/>
      <c r="G201" s="216"/>
      <c r="H201" s="216"/>
      <c r="I201" s="216"/>
      <c r="J201" s="216"/>
      <c r="K201" s="216"/>
      <c r="L201" s="216"/>
      <c r="M201" s="216"/>
      <c r="N201" s="216"/>
      <c r="O201" s="216"/>
      <c r="P201" s="216"/>
      <c r="Q201" s="216"/>
      <c r="R201" s="217"/>
    </row>
    <row r="202" spans="1:18" ht="18">
      <c r="A202" s="33"/>
      <c r="B202" s="31" t="s">
        <v>68</v>
      </c>
      <c r="C202" s="7">
        <v>40</v>
      </c>
      <c r="D202" s="7">
        <v>0</v>
      </c>
      <c r="E202" s="7">
        <f>C202-D202</f>
        <v>40</v>
      </c>
      <c r="F202" s="4">
        <f>E202*7.5%</f>
        <v>3</v>
      </c>
      <c r="G202" s="4">
        <f>E202*11.8%</f>
        <v>4.7200000000000006</v>
      </c>
      <c r="H202" s="4">
        <f>E202*74.4%</f>
        <v>29.760000000000005</v>
      </c>
      <c r="I202" s="4">
        <f>E202*436%</f>
        <v>174.4</v>
      </c>
      <c r="J202" s="4">
        <f>E202*0.08%</f>
        <v>3.2000000000000001E-2</v>
      </c>
      <c r="K202" s="4">
        <f>E202*0%</f>
        <v>0</v>
      </c>
      <c r="L202" s="4">
        <f>E202*0%</f>
        <v>0</v>
      </c>
      <c r="M202" s="4">
        <f>E202*29%</f>
        <v>11.6</v>
      </c>
      <c r="N202" s="4">
        <f>E202*90%</f>
        <v>36</v>
      </c>
      <c r="O202" s="4">
        <f>E202*20%</f>
        <v>8</v>
      </c>
      <c r="P202" s="4">
        <f>E202*2.1%</f>
        <v>0.84000000000000008</v>
      </c>
      <c r="Q202" s="4">
        <v>160</v>
      </c>
      <c r="R202" s="7">
        <f>C202/1000*160</f>
        <v>6.4</v>
      </c>
    </row>
    <row r="203" spans="1:18" ht="21">
      <c r="A203" s="36"/>
      <c r="B203" s="130" t="s">
        <v>124</v>
      </c>
      <c r="C203" s="133"/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3"/>
      <c r="O203" s="133"/>
      <c r="P203" s="133"/>
      <c r="Q203" s="133"/>
      <c r="R203" s="134"/>
    </row>
    <row r="204" spans="1:18" ht="18">
      <c r="A204" s="36"/>
      <c r="B204" s="31" t="s">
        <v>68</v>
      </c>
      <c r="C204" s="7">
        <v>140</v>
      </c>
      <c r="D204" s="7">
        <v>0</v>
      </c>
      <c r="E204" s="7">
        <f>C204-D204</f>
        <v>140</v>
      </c>
      <c r="F204" s="7">
        <f>E204*0.08%</f>
        <v>0.112</v>
      </c>
      <c r="G204" s="7">
        <v>0</v>
      </c>
      <c r="H204" s="7">
        <f>E204*9.6%</f>
        <v>13.44</v>
      </c>
      <c r="I204" s="7">
        <f>E204*43%</f>
        <v>60.199999999999996</v>
      </c>
      <c r="J204" s="7">
        <f>E204*0.06%</f>
        <v>8.3999999999999991E-2</v>
      </c>
      <c r="K204" s="7">
        <f>E204*10%</f>
        <v>14</v>
      </c>
      <c r="L204" s="7">
        <v>0</v>
      </c>
      <c r="M204" s="7">
        <f>E204*20%</f>
        <v>28</v>
      </c>
      <c r="N204" s="7">
        <f>E204*20%</f>
        <v>28</v>
      </c>
      <c r="O204" s="7">
        <f>E204*9%</f>
        <v>12.6</v>
      </c>
      <c r="P204" s="7">
        <f>E204*0.5%</f>
        <v>0.70000000000000007</v>
      </c>
      <c r="Q204" s="7">
        <v>63</v>
      </c>
      <c r="R204" s="7">
        <f>C204/1000*63</f>
        <v>8.82</v>
      </c>
    </row>
    <row r="205" spans="1:18" ht="21">
      <c r="A205" s="33"/>
      <c r="B205" s="121" t="s">
        <v>90</v>
      </c>
      <c r="C205" s="122"/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  <c r="N205" s="122"/>
      <c r="O205" s="122"/>
      <c r="P205" s="122"/>
      <c r="Q205" s="122"/>
      <c r="R205" s="123"/>
    </row>
    <row r="206" spans="1:18" ht="18">
      <c r="A206" s="33"/>
      <c r="B206" s="31" t="s">
        <v>68</v>
      </c>
      <c r="C206" s="27">
        <v>3</v>
      </c>
      <c r="D206" s="7">
        <v>0</v>
      </c>
      <c r="E206" s="27">
        <f>C206-D206</f>
        <v>3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20</v>
      </c>
      <c r="R206" s="27">
        <f>C206/1000*20</f>
        <v>0.06</v>
      </c>
    </row>
    <row r="207" spans="1:18" ht="18">
      <c r="A207" s="33"/>
      <c r="B207" s="31"/>
      <c r="C207" s="27"/>
      <c r="D207" s="7"/>
      <c r="E207" s="2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27"/>
    </row>
    <row r="208" spans="1:18" ht="23.4">
      <c r="A208" s="35"/>
      <c r="B208" s="25" t="s">
        <v>68</v>
      </c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>
        <f>R206+R204+R202+R200+R196+R194+R187</f>
        <v>60.995000000000005</v>
      </c>
    </row>
    <row r="209" spans="1:18" s="269" customFormat="1" ht="23.25" customHeight="1">
      <c r="A209" s="267" t="s">
        <v>137</v>
      </c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  <c r="N209" s="268"/>
      <c r="O209" s="268"/>
      <c r="P209" s="268"/>
      <c r="Q209" s="268"/>
      <c r="R209" s="268"/>
    </row>
    <row r="210" spans="1:18" s="269" customFormat="1" ht="23.25" customHeight="1">
      <c r="A210" s="267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  <c r="N210" s="268"/>
      <c r="O210" s="268"/>
      <c r="P210" s="268"/>
      <c r="Q210" s="268"/>
      <c r="R210" s="268"/>
    </row>
    <row r="211" spans="1:18" s="269" customFormat="1" ht="23.25" customHeight="1">
      <c r="A211" s="267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  <c r="N211" s="268"/>
      <c r="O211" s="268"/>
      <c r="P211" s="268"/>
      <c r="Q211" s="268"/>
      <c r="R211" s="268"/>
    </row>
    <row r="212" spans="1:18" ht="17.399999999999999">
      <c r="A212" s="185"/>
      <c r="B212" s="135" t="s">
        <v>0</v>
      </c>
      <c r="C212" s="187" t="s">
        <v>84</v>
      </c>
      <c r="D212" s="190" t="s">
        <v>19</v>
      </c>
      <c r="E212" s="190" t="s">
        <v>18</v>
      </c>
      <c r="F212" s="146" t="s">
        <v>1</v>
      </c>
      <c r="G212" s="146" t="s">
        <v>2</v>
      </c>
      <c r="H212" s="142" t="s">
        <v>3</v>
      </c>
      <c r="I212" s="146" t="s">
        <v>4</v>
      </c>
      <c r="J212" s="193" t="s">
        <v>5</v>
      </c>
      <c r="K212" s="193"/>
      <c r="L212" s="193"/>
      <c r="M212" s="193" t="s">
        <v>6</v>
      </c>
      <c r="N212" s="193"/>
      <c r="O212" s="193"/>
      <c r="P212" s="193"/>
      <c r="Q212" s="146" t="s">
        <v>65</v>
      </c>
      <c r="R212" s="194" t="s">
        <v>102</v>
      </c>
    </row>
    <row r="213" spans="1:18">
      <c r="A213" s="186"/>
      <c r="B213" s="135"/>
      <c r="C213" s="188"/>
      <c r="D213" s="191"/>
      <c r="E213" s="191"/>
      <c r="F213" s="147"/>
      <c r="G213" s="147"/>
      <c r="H213" s="143"/>
      <c r="I213" s="147"/>
      <c r="J213" s="146" t="s">
        <v>7</v>
      </c>
      <c r="K213" s="190" t="s">
        <v>8</v>
      </c>
      <c r="L213" s="146" t="s">
        <v>9</v>
      </c>
      <c r="M213" s="146" t="s">
        <v>10</v>
      </c>
      <c r="N213" s="146" t="s">
        <v>11</v>
      </c>
      <c r="O213" s="146" t="s">
        <v>12</v>
      </c>
      <c r="P213" s="146" t="s">
        <v>13</v>
      </c>
      <c r="Q213" s="147"/>
      <c r="R213" s="195"/>
    </row>
    <row r="214" spans="1:18" ht="17.399999999999999">
      <c r="A214" s="42"/>
      <c r="B214" s="40"/>
      <c r="C214" s="189"/>
      <c r="D214" s="192"/>
      <c r="E214" s="192"/>
      <c r="F214" s="148"/>
      <c r="G214" s="148"/>
      <c r="H214" s="144"/>
      <c r="I214" s="148"/>
      <c r="J214" s="148"/>
      <c r="K214" s="192"/>
      <c r="L214" s="148"/>
      <c r="M214" s="148"/>
      <c r="N214" s="148"/>
      <c r="O214" s="148"/>
      <c r="P214" s="148"/>
      <c r="Q214" s="148"/>
      <c r="R214" s="196"/>
    </row>
    <row r="215" spans="1:18" s="76" customFormat="1" ht="21">
      <c r="A215" s="75"/>
      <c r="B215" s="158" t="s">
        <v>108</v>
      </c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60"/>
    </row>
    <row r="216" spans="1:18" s="55" customFormat="1" ht="22.5" customHeight="1">
      <c r="A216" s="26"/>
      <c r="B216" s="3" t="s">
        <v>109</v>
      </c>
      <c r="C216" s="4">
        <v>70</v>
      </c>
      <c r="D216" s="4">
        <f>C216*26.4%</f>
        <v>18.48</v>
      </c>
      <c r="E216" s="4">
        <f>SUM(C216-D216)</f>
        <v>51.519999999999996</v>
      </c>
      <c r="F216" s="4">
        <f>E216*18.6%</f>
        <v>9.5827200000000001</v>
      </c>
      <c r="G216" s="4">
        <f>E216*16%</f>
        <v>8.2431999999999999</v>
      </c>
      <c r="H216" s="4">
        <v>0</v>
      </c>
      <c r="I216" s="4">
        <f>E216*218%</f>
        <v>112.31359999999999</v>
      </c>
      <c r="J216" s="4">
        <f>E216*0.06%</f>
        <v>3.0911999999999995E-2</v>
      </c>
      <c r="K216" s="4">
        <v>0</v>
      </c>
      <c r="L216" s="4">
        <v>0</v>
      </c>
      <c r="M216" s="4">
        <f>E216*9%</f>
        <v>4.6367999999999991</v>
      </c>
      <c r="N216" s="4">
        <f>E216*188%</f>
        <v>96.857599999999991</v>
      </c>
      <c r="O216" s="4">
        <f>E216*22%</f>
        <v>11.334399999999999</v>
      </c>
      <c r="P216" s="4">
        <f>E216*2.7%</f>
        <v>1.3910400000000001</v>
      </c>
      <c r="Q216" s="4">
        <v>475</v>
      </c>
      <c r="R216" s="4">
        <f>C216/1000*475</f>
        <v>33.25</v>
      </c>
    </row>
    <row r="217" spans="1:18" ht="18">
      <c r="A217" s="36"/>
      <c r="B217" s="3" t="s">
        <v>70</v>
      </c>
      <c r="C217" s="4">
        <v>50</v>
      </c>
      <c r="D217" s="4">
        <f>C217*0.25</f>
        <v>12.5</v>
      </c>
      <c r="E217" s="4">
        <f>C217-D217</f>
        <v>37.5</v>
      </c>
      <c r="F217" s="4">
        <f>E217*2%</f>
        <v>0.75</v>
      </c>
      <c r="G217" s="4">
        <f>E217*0.4%</f>
        <v>0.15</v>
      </c>
      <c r="H217" s="4">
        <f>E217*16.3%</f>
        <v>6.1124999999999998</v>
      </c>
      <c r="I217" s="4">
        <f>E217*80%</f>
        <v>30</v>
      </c>
      <c r="J217" s="4">
        <f>E217*0.12%</f>
        <v>4.4999999999999998E-2</v>
      </c>
      <c r="K217" s="4">
        <f>E217*20%</f>
        <v>7.5</v>
      </c>
      <c r="L217" s="4">
        <v>0</v>
      </c>
      <c r="M217" s="4">
        <f>E217*10%</f>
        <v>3.75</v>
      </c>
      <c r="N217" s="4">
        <f>E217*58%</f>
        <v>21.75</v>
      </c>
      <c r="O217" s="4">
        <f>E217*23%</f>
        <v>8.625</v>
      </c>
      <c r="P217" s="4">
        <f>E217*0.9%</f>
        <v>0.33750000000000002</v>
      </c>
      <c r="Q217" s="4">
        <v>57</v>
      </c>
      <c r="R217" s="4">
        <f>C217/1000*57</f>
        <v>2.85</v>
      </c>
    </row>
    <row r="218" spans="1:18" ht="18">
      <c r="A218" s="26"/>
      <c r="B218" s="3" t="s">
        <v>14</v>
      </c>
      <c r="C218" s="4">
        <v>10</v>
      </c>
      <c r="D218" s="4">
        <v>5</v>
      </c>
      <c r="E218" s="4">
        <f>C218-D218</f>
        <v>5</v>
      </c>
      <c r="F218" s="4">
        <f>E218*1.3%</f>
        <v>6.5000000000000002E-2</v>
      </c>
      <c r="G218" s="4">
        <f>E218*0.1%</f>
        <v>5.0000000000000001E-3</v>
      </c>
      <c r="H218" s="4">
        <f>E218*7.2%</f>
        <v>0.36000000000000004</v>
      </c>
      <c r="I218" s="4">
        <f>E218*30%</f>
        <v>1.5</v>
      </c>
      <c r="J218" s="4">
        <f>E218*0.06%</f>
        <v>2.9999999999999996E-3</v>
      </c>
      <c r="K218" s="4">
        <f>E218*5%</f>
        <v>0.25</v>
      </c>
      <c r="L218" s="4">
        <v>0</v>
      </c>
      <c r="M218" s="4">
        <f>E218*51%</f>
        <v>2.5499999999999998</v>
      </c>
      <c r="N218" s="4">
        <f>E218*55%</f>
        <v>2.75</v>
      </c>
      <c r="O218" s="4">
        <f>E218*38%</f>
        <v>1.9</v>
      </c>
      <c r="P218" s="4">
        <f>E218*0.7%</f>
        <v>3.4999999999999996E-2</v>
      </c>
      <c r="Q218" s="4">
        <v>60</v>
      </c>
      <c r="R218" s="4">
        <f>C218/1000*60</f>
        <v>0.6</v>
      </c>
    </row>
    <row r="219" spans="1:18" ht="18">
      <c r="A219" s="33"/>
      <c r="B219" s="3" t="s">
        <v>82</v>
      </c>
      <c r="C219" s="4">
        <v>15</v>
      </c>
      <c r="D219" s="4">
        <v>0</v>
      </c>
      <c r="E219" s="4">
        <f>C219-D219</f>
        <v>15</v>
      </c>
      <c r="F219" s="4">
        <f>E219*2%</f>
        <v>0.3</v>
      </c>
      <c r="G219" s="4">
        <f>E219*0.4%</f>
        <v>0.06</v>
      </c>
      <c r="H219" s="4">
        <f>E219*16.3%</f>
        <v>2.4450000000000003</v>
      </c>
      <c r="I219" s="4">
        <f>E219*80%</f>
        <v>12</v>
      </c>
      <c r="J219" s="4">
        <f>E219*0.12%</f>
        <v>1.7999999999999999E-2</v>
      </c>
      <c r="K219" s="4">
        <f>E219*20%</f>
        <v>3</v>
      </c>
      <c r="L219" s="4">
        <v>0</v>
      </c>
      <c r="M219" s="4">
        <f>E219*10%</f>
        <v>1.5</v>
      </c>
      <c r="N219" s="4">
        <f>E219*58%</f>
        <v>8.6999999999999993</v>
      </c>
      <c r="O219" s="4">
        <f>E219*23%</f>
        <v>3.45</v>
      </c>
      <c r="P219" s="4">
        <f>E219*0.9%</f>
        <v>0.13500000000000001</v>
      </c>
      <c r="Q219" s="4">
        <v>75</v>
      </c>
      <c r="R219" s="4">
        <f>C219/1000*75</f>
        <v>1.125</v>
      </c>
    </row>
    <row r="220" spans="1:18" ht="18">
      <c r="A220" s="26"/>
      <c r="B220" s="3" t="s">
        <v>71</v>
      </c>
      <c r="C220" s="4">
        <v>12</v>
      </c>
      <c r="D220" s="4">
        <f>C220*0.16</f>
        <v>1.92</v>
      </c>
      <c r="E220" s="4">
        <f>C220-D220</f>
        <v>10.08</v>
      </c>
      <c r="F220" s="4">
        <f>E220*1.4%</f>
        <v>0.14112</v>
      </c>
      <c r="G220">
        <v>0</v>
      </c>
      <c r="H220" s="4">
        <f>E220*9.1%</f>
        <v>0.91727999999999998</v>
      </c>
      <c r="I220" s="4">
        <f>E220*41%</f>
        <v>4.1327999999999996</v>
      </c>
      <c r="J220" s="4">
        <f>E220*0.05%</f>
        <v>5.0400000000000002E-3</v>
      </c>
      <c r="K220" s="4">
        <f>E220*10%</f>
        <v>1.008</v>
      </c>
      <c r="L220" s="4">
        <v>0</v>
      </c>
      <c r="M220" s="4">
        <f>E220*31%</f>
        <v>3.1248</v>
      </c>
      <c r="N220" s="4">
        <f>E220*58%</f>
        <v>5.8464</v>
      </c>
      <c r="O220" s="4">
        <f>E220*14%</f>
        <v>1.4112000000000002</v>
      </c>
      <c r="P220" s="4">
        <f>E220*0.8%</f>
        <v>8.0640000000000003E-2</v>
      </c>
      <c r="Q220" s="4">
        <v>40</v>
      </c>
      <c r="R220" s="4">
        <f>C220/1000*40</f>
        <v>0.48</v>
      </c>
    </row>
    <row r="221" spans="1:18">
      <c r="A221" s="53"/>
      <c r="B221" s="54" t="s">
        <v>25</v>
      </c>
      <c r="C221" s="54">
        <v>3</v>
      </c>
      <c r="D221" s="54">
        <v>0</v>
      </c>
      <c r="E221" s="54">
        <f>SUM(C221:D221)</f>
        <v>3</v>
      </c>
      <c r="F221" s="54">
        <f>E221*1%</f>
        <v>0.03</v>
      </c>
      <c r="G221" s="54">
        <v>0</v>
      </c>
      <c r="H221" s="54">
        <f>E221*3.5%</f>
        <v>0.10500000000000001</v>
      </c>
      <c r="I221" s="54">
        <f>E221*19%</f>
        <v>0.57000000000000006</v>
      </c>
      <c r="J221" s="54">
        <f>E221*0.03%</f>
        <v>8.9999999999999998E-4</v>
      </c>
      <c r="K221" s="54">
        <f>E221*10%</f>
        <v>0.30000000000000004</v>
      </c>
      <c r="L221" s="54">
        <v>0</v>
      </c>
      <c r="M221" s="54">
        <f>C221*7%</f>
        <v>0.21000000000000002</v>
      </c>
      <c r="N221" s="54">
        <f>E221*32%</f>
        <v>0.96</v>
      </c>
      <c r="O221" s="54">
        <f>E221*12%</f>
        <v>0.36</v>
      </c>
      <c r="P221" s="54">
        <f>E221*0.7%</f>
        <v>2.0999999999999998E-2</v>
      </c>
      <c r="Q221" s="54">
        <v>150</v>
      </c>
      <c r="R221" s="54">
        <f>C221/1000*150</f>
        <v>0.45</v>
      </c>
    </row>
    <row r="222" spans="1:18" ht="18">
      <c r="A222" s="26"/>
      <c r="B222" s="3" t="s">
        <v>24</v>
      </c>
      <c r="C222" s="4">
        <v>5</v>
      </c>
      <c r="D222" s="4">
        <v>0</v>
      </c>
      <c r="E222" s="4">
        <f>SUM(C222:D222)</f>
        <v>5</v>
      </c>
      <c r="F222" s="4">
        <v>0</v>
      </c>
      <c r="G222" s="6">
        <f>E222*0.999</f>
        <v>4.9950000000000001</v>
      </c>
      <c r="H222" s="4">
        <v>0</v>
      </c>
      <c r="I222" s="4">
        <f>E222*8.99%</f>
        <v>0.44950000000000001</v>
      </c>
      <c r="J222" s="4">
        <f>E222*0.06%</f>
        <v>2.9999999999999996E-3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150</v>
      </c>
      <c r="R222" s="4">
        <f>C222/1000*150</f>
        <v>0.75</v>
      </c>
    </row>
    <row r="223" spans="1:18" ht="18">
      <c r="A223" s="33"/>
      <c r="B223" s="31" t="s">
        <v>68</v>
      </c>
      <c r="C223" s="7">
        <f t="shared" ref="C223:D223" si="24">SUM(C216:C222)</f>
        <v>165</v>
      </c>
      <c r="D223" s="7">
        <f t="shared" si="24"/>
        <v>37.900000000000006</v>
      </c>
      <c r="E223" s="7">
        <v>250</v>
      </c>
      <c r="F223" s="7">
        <f t="shared" ref="F223:P223" si="25">SUM(F216:F222)</f>
        <v>10.868840000000001</v>
      </c>
      <c r="G223" s="7">
        <f t="shared" si="25"/>
        <v>13.453200000000002</v>
      </c>
      <c r="H223" s="7">
        <f t="shared" si="25"/>
        <v>9.9397800000000007</v>
      </c>
      <c r="I223" s="7">
        <f t="shared" si="25"/>
        <v>160.9659</v>
      </c>
      <c r="J223" s="7">
        <f t="shared" si="25"/>
        <v>0.105852</v>
      </c>
      <c r="K223" s="7">
        <f t="shared" si="25"/>
        <v>12.058</v>
      </c>
      <c r="L223" s="7">
        <f t="shared" si="25"/>
        <v>0</v>
      </c>
      <c r="M223" s="7">
        <f t="shared" si="25"/>
        <v>15.771599999999999</v>
      </c>
      <c r="N223" s="7">
        <f t="shared" si="25"/>
        <v>136.86399999999998</v>
      </c>
      <c r="O223" s="7">
        <f t="shared" si="25"/>
        <v>27.080599999999997</v>
      </c>
      <c r="P223" s="7">
        <f t="shared" si="25"/>
        <v>2.0001800000000003</v>
      </c>
      <c r="Q223" s="7"/>
      <c r="R223" s="7">
        <f>SUM(R216:R222)</f>
        <v>39.505000000000003</v>
      </c>
    </row>
    <row r="224" spans="1:18" s="78" customFormat="1" ht="21">
      <c r="A224" s="77"/>
      <c r="B224" s="121" t="s">
        <v>120</v>
      </c>
      <c r="C224" s="214"/>
      <c r="D224" s="214"/>
      <c r="E224" s="214"/>
      <c r="F224" s="214"/>
      <c r="G224" s="214"/>
      <c r="H224" s="214"/>
      <c r="I224" s="214"/>
      <c r="J224" s="214"/>
      <c r="K224" s="214"/>
      <c r="L224" s="214"/>
      <c r="M224" s="214"/>
      <c r="N224" s="214"/>
      <c r="O224" s="214"/>
      <c r="P224" s="214"/>
      <c r="Q224" s="214"/>
      <c r="R224" s="215"/>
    </row>
    <row r="225" spans="1:18" ht="18">
      <c r="A225" s="36"/>
      <c r="B225" s="1" t="s">
        <v>14</v>
      </c>
      <c r="C225" s="4">
        <v>10</v>
      </c>
      <c r="D225" s="4">
        <f>C225*0.2</f>
        <v>2</v>
      </c>
      <c r="E225" s="4">
        <f>C225-D225</f>
        <v>8</v>
      </c>
      <c r="F225" s="4">
        <f>E225*1.3%</f>
        <v>0.10400000000000001</v>
      </c>
      <c r="G225" s="6">
        <f>E225*0.001</f>
        <v>8.0000000000000002E-3</v>
      </c>
      <c r="H225" s="4">
        <f>E225*0.072</f>
        <v>0.57599999999999996</v>
      </c>
      <c r="I225" s="4">
        <f>E225*0.3</f>
        <v>2.4</v>
      </c>
      <c r="J225" s="4">
        <f>E225*0.06%</f>
        <v>4.7999999999999996E-3</v>
      </c>
      <c r="K225" s="4">
        <f>E225*5%</f>
        <v>0.4</v>
      </c>
      <c r="L225" s="4">
        <v>0</v>
      </c>
      <c r="M225" s="4">
        <f>E225*51%</f>
        <v>4.08</v>
      </c>
      <c r="N225" s="4">
        <f>E225*55%</f>
        <v>4.4000000000000004</v>
      </c>
      <c r="O225" s="4">
        <f>E225*38%</f>
        <v>3.04</v>
      </c>
      <c r="P225" s="4">
        <f>E225*0.7%</f>
        <v>5.5999999999999994E-2</v>
      </c>
      <c r="Q225" s="4">
        <v>60</v>
      </c>
      <c r="R225" s="3">
        <f>C225/1000*60</f>
        <v>0.6</v>
      </c>
    </row>
    <row r="226" spans="1:18" s="63" customFormat="1" ht="15.75" customHeight="1">
      <c r="A226" s="70"/>
      <c r="B226" s="1" t="s">
        <v>74</v>
      </c>
      <c r="C226" s="62">
        <v>6</v>
      </c>
      <c r="D226" s="62">
        <v>0</v>
      </c>
      <c r="E226" s="62">
        <f>C226-D226</f>
        <v>6</v>
      </c>
      <c r="F226" s="62">
        <v>0</v>
      </c>
      <c r="G226" s="69">
        <f>E226*0.999</f>
        <v>5.9939999999999998</v>
      </c>
      <c r="H226" s="62">
        <v>0</v>
      </c>
      <c r="I226" s="62">
        <f>E226*8.99</f>
        <v>53.94</v>
      </c>
      <c r="J226" s="62">
        <f>E226*0.06%</f>
        <v>3.5999999999999999E-3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180</v>
      </c>
      <c r="R226" s="62">
        <f>C226/1000*180</f>
        <v>1.08</v>
      </c>
    </row>
    <row r="227" spans="1:18" ht="18">
      <c r="A227" s="36"/>
      <c r="B227" s="1" t="s">
        <v>15</v>
      </c>
      <c r="C227" s="4">
        <v>25</v>
      </c>
      <c r="D227" s="4">
        <f>C227*0.2</f>
        <v>5</v>
      </c>
      <c r="E227" s="4">
        <f>C227-D227</f>
        <v>20</v>
      </c>
      <c r="F227" s="4">
        <f>E227*0.018</f>
        <v>0.36</v>
      </c>
      <c r="G227" s="6">
        <f>E227*0.001</f>
        <v>0.02</v>
      </c>
      <c r="H227" s="4">
        <f>E227*0.047</f>
        <v>0.94</v>
      </c>
      <c r="I227" s="4">
        <f>E227*0.27</f>
        <v>5.4</v>
      </c>
      <c r="J227" s="4">
        <f>E227*0.03%</f>
        <v>5.9999999999999993E-3</v>
      </c>
      <c r="K227" s="4">
        <f>E227*45%</f>
        <v>9</v>
      </c>
      <c r="L227" s="4">
        <v>0</v>
      </c>
      <c r="M227" s="4">
        <f>E227*48%</f>
        <v>9.6</v>
      </c>
      <c r="N227" s="4">
        <f>E227*31%</f>
        <v>6.2</v>
      </c>
      <c r="O227" s="4">
        <f>E227*16%</f>
        <v>3.2</v>
      </c>
      <c r="P227" s="4">
        <f>E227*0.6%</f>
        <v>0.12</v>
      </c>
      <c r="Q227" s="4">
        <v>50</v>
      </c>
      <c r="R227" s="3">
        <f>C227/1000*50</f>
        <v>1.25</v>
      </c>
    </row>
    <row r="228" spans="1:18" ht="18">
      <c r="A228" s="36"/>
      <c r="B228" s="1" t="s">
        <v>16</v>
      </c>
      <c r="C228" s="4">
        <v>5</v>
      </c>
      <c r="D228" s="4">
        <v>0</v>
      </c>
      <c r="E228" s="4">
        <v>3</v>
      </c>
      <c r="F228" s="4">
        <v>0</v>
      </c>
      <c r="G228" s="6">
        <f>E228*0.999</f>
        <v>2.9969999999999999</v>
      </c>
      <c r="H228" s="4">
        <v>0</v>
      </c>
      <c r="I228" s="4">
        <f>E228*8.99%</f>
        <v>0.26970000000000005</v>
      </c>
      <c r="J228" s="4">
        <f>E228*0.06%</f>
        <v>1.8E-3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150</v>
      </c>
      <c r="R228" s="3">
        <f>C228/1000*150</f>
        <v>0.75</v>
      </c>
    </row>
    <row r="229" spans="1:18" ht="18">
      <c r="A229" s="36"/>
      <c r="B229" s="30" t="s">
        <v>68</v>
      </c>
      <c r="C229" s="5">
        <f>SUM(C225:C228)</f>
        <v>46</v>
      </c>
      <c r="D229" s="5">
        <f t="shared" ref="D229:P229" si="26">SUM(D225:D228)</f>
        <v>7</v>
      </c>
      <c r="E229" s="5">
        <f t="shared" si="26"/>
        <v>37</v>
      </c>
      <c r="F229" s="5">
        <f t="shared" si="26"/>
        <v>0.46399999999999997</v>
      </c>
      <c r="G229" s="5">
        <f t="shared" si="26"/>
        <v>9.0189999999999984</v>
      </c>
      <c r="H229" s="5">
        <f t="shared" si="26"/>
        <v>1.516</v>
      </c>
      <c r="I229" s="5">
        <f t="shared" si="26"/>
        <v>62.009699999999995</v>
      </c>
      <c r="J229" s="5">
        <f t="shared" si="26"/>
        <v>1.6199999999999999E-2</v>
      </c>
      <c r="K229" s="5">
        <f t="shared" si="26"/>
        <v>9.4</v>
      </c>
      <c r="L229" s="5">
        <f t="shared" si="26"/>
        <v>0</v>
      </c>
      <c r="M229" s="5">
        <f t="shared" si="26"/>
        <v>13.68</v>
      </c>
      <c r="N229" s="5">
        <f t="shared" si="26"/>
        <v>10.600000000000001</v>
      </c>
      <c r="O229" s="5">
        <f t="shared" si="26"/>
        <v>6.24</v>
      </c>
      <c r="P229" s="5">
        <f t="shared" si="26"/>
        <v>0.17599999999999999</v>
      </c>
      <c r="Q229" s="5"/>
      <c r="R229" s="5">
        <f>SUM(R225:R228)</f>
        <v>3.68</v>
      </c>
    </row>
    <row r="230" spans="1:18" s="76" customFormat="1" ht="21">
      <c r="A230" s="75"/>
      <c r="B230" s="208" t="s">
        <v>92</v>
      </c>
      <c r="C230" s="239"/>
      <c r="D230" s="239"/>
      <c r="E230" s="239"/>
      <c r="F230" s="239"/>
      <c r="G230" s="239"/>
      <c r="H230" s="239"/>
      <c r="I230" s="239"/>
      <c r="J230" s="239"/>
      <c r="K230" s="239"/>
      <c r="L230" s="239"/>
      <c r="M230" s="239"/>
      <c r="N230" s="239"/>
      <c r="O230" s="239"/>
      <c r="P230" s="239"/>
      <c r="Q230" s="239"/>
      <c r="R230" s="240"/>
    </row>
    <row r="231" spans="1:18" ht="18">
      <c r="A231" s="36"/>
      <c r="B231" s="31" t="s">
        <v>68</v>
      </c>
      <c r="C231" s="7">
        <v>50</v>
      </c>
      <c r="D231" s="7">
        <v>0</v>
      </c>
      <c r="E231" s="7">
        <f>C231-D231</f>
        <v>50</v>
      </c>
      <c r="F231" s="7">
        <f>E231*7.9%</f>
        <v>3.95</v>
      </c>
      <c r="G231" s="7">
        <f>E231*1%</f>
        <v>0.5</v>
      </c>
      <c r="H231" s="7">
        <f>E231*48.1%</f>
        <v>24.05</v>
      </c>
      <c r="I231" s="7">
        <f>E231*239%</f>
        <v>119.5</v>
      </c>
      <c r="J231" s="7">
        <f>E231*0.16%</f>
        <v>0.08</v>
      </c>
      <c r="K231" s="7">
        <v>0</v>
      </c>
      <c r="L231" s="7">
        <v>0</v>
      </c>
      <c r="M231" s="7">
        <f>E231*23%</f>
        <v>11.5</v>
      </c>
      <c r="N231" s="7">
        <f>E231*87%</f>
        <v>43.5</v>
      </c>
      <c r="O231" s="7">
        <f>E231*33%</f>
        <v>16.5</v>
      </c>
      <c r="P231" s="7">
        <f>E231*2%</f>
        <v>1</v>
      </c>
      <c r="Q231" s="7">
        <v>50</v>
      </c>
      <c r="R231" s="7">
        <f>C231/1000*50</f>
        <v>2.5</v>
      </c>
    </row>
    <row r="232" spans="1:18" s="76" customFormat="1" ht="21">
      <c r="A232" s="75"/>
      <c r="B232" s="208" t="s">
        <v>93</v>
      </c>
      <c r="C232" s="239"/>
      <c r="D232" s="239"/>
      <c r="E232" s="239"/>
      <c r="F232" s="239"/>
      <c r="G232" s="239"/>
      <c r="H232" s="239"/>
      <c r="I232" s="239"/>
      <c r="J232" s="239"/>
      <c r="K232" s="239"/>
      <c r="L232" s="239"/>
      <c r="M232" s="239"/>
      <c r="N232" s="239"/>
      <c r="O232" s="239"/>
      <c r="P232" s="239"/>
      <c r="Q232" s="239"/>
      <c r="R232" s="240"/>
    </row>
    <row r="233" spans="1:18" ht="18">
      <c r="A233" s="33"/>
      <c r="B233" s="4" t="s">
        <v>51</v>
      </c>
      <c r="C233" s="4">
        <v>1</v>
      </c>
      <c r="D233" s="4">
        <v>0</v>
      </c>
      <c r="E233" s="4">
        <f>C233-D233</f>
        <v>1</v>
      </c>
      <c r="F233" s="4">
        <f>E233*21.74%</f>
        <v>0.21739999999999998</v>
      </c>
      <c r="G233" s="4">
        <f>E233*7.61%</f>
        <v>7.6100000000000001E-2</v>
      </c>
      <c r="H233" s="4">
        <f>E233*2.86%</f>
        <v>2.86E-2</v>
      </c>
      <c r="I233" s="4">
        <f>E233*9.18%</f>
        <v>9.1799999999999993E-2</v>
      </c>
      <c r="J233" s="4">
        <f>E233*4.7%</f>
        <v>4.7E-2</v>
      </c>
      <c r="K233" s="4">
        <f>E233*11%</f>
        <v>0.11</v>
      </c>
      <c r="L233" s="4">
        <f>E233*5.6%</f>
        <v>5.5999999999999994E-2</v>
      </c>
      <c r="M233" s="4">
        <f>E233*50%</f>
        <v>0.5</v>
      </c>
      <c r="N233" s="4">
        <f>E233*10%</f>
        <v>0.1</v>
      </c>
      <c r="O233" s="4">
        <f>E233*110%</f>
        <v>1.1000000000000001</v>
      </c>
      <c r="P233" s="4">
        <f>E233*456%</f>
        <v>4.5599999999999996</v>
      </c>
      <c r="Q233" s="4">
        <v>950</v>
      </c>
      <c r="R233" s="4">
        <f>C233/1000*950</f>
        <v>0.95000000000000007</v>
      </c>
    </row>
    <row r="234" spans="1:18" ht="18">
      <c r="A234" s="36"/>
      <c r="B234" s="4" t="s">
        <v>67</v>
      </c>
      <c r="C234" s="4">
        <v>15</v>
      </c>
      <c r="D234" s="4">
        <v>0</v>
      </c>
      <c r="E234" s="4">
        <v>15</v>
      </c>
      <c r="F234" s="4">
        <v>0</v>
      </c>
      <c r="G234" s="4">
        <v>0</v>
      </c>
      <c r="H234" s="4">
        <f>E234*99.8%</f>
        <v>14.97</v>
      </c>
      <c r="I234" s="4">
        <f>E234*379%</f>
        <v>56.85</v>
      </c>
      <c r="J234" s="4">
        <v>0</v>
      </c>
      <c r="K234" s="4">
        <v>0</v>
      </c>
      <c r="L234" s="4">
        <v>0</v>
      </c>
      <c r="M234" s="4">
        <f>E234*2%</f>
        <v>0.3</v>
      </c>
      <c r="N234" s="4">
        <v>0</v>
      </c>
      <c r="O234" s="4">
        <v>0</v>
      </c>
      <c r="P234" s="4">
        <f>E234*0.3%</f>
        <v>4.4999999999999998E-2</v>
      </c>
      <c r="Q234" s="4">
        <v>60</v>
      </c>
      <c r="R234" s="4">
        <f>C234/1000*60</f>
        <v>0.89999999999999991</v>
      </c>
    </row>
    <row r="235" spans="1:18" ht="18">
      <c r="A235" s="36"/>
      <c r="B235" s="31" t="s">
        <v>68</v>
      </c>
      <c r="C235" s="7">
        <f>SUM(C233:C234)</f>
        <v>16</v>
      </c>
      <c r="D235" s="7">
        <f>SUM(D234:D234)</f>
        <v>0</v>
      </c>
      <c r="E235" s="7">
        <v>150</v>
      </c>
      <c r="F235" s="7">
        <f t="shared" ref="F235:P235" si="27">SUM(F234:F234)</f>
        <v>0</v>
      </c>
      <c r="G235" s="7">
        <f t="shared" si="27"/>
        <v>0</v>
      </c>
      <c r="H235" s="7">
        <f t="shared" si="27"/>
        <v>14.97</v>
      </c>
      <c r="I235" s="7">
        <f t="shared" si="27"/>
        <v>56.85</v>
      </c>
      <c r="J235" s="7">
        <f t="shared" si="27"/>
        <v>0</v>
      </c>
      <c r="K235" s="7">
        <f t="shared" si="27"/>
        <v>0</v>
      </c>
      <c r="L235" s="7">
        <f t="shared" si="27"/>
        <v>0</v>
      </c>
      <c r="M235" s="7">
        <f t="shared" si="27"/>
        <v>0.3</v>
      </c>
      <c r="N235" s="7">
        <f t="shared" si="27"/>
        <v>0</v>
      </c>
      <c r="O235" s="7">
        <f t="shared" si="27"/>
        <v>0</v>
      </c>
      <c r="P235" s="7">
        <f t="shared" si="27"/>
        <v>4.4999999999999998E-2</v>
      </c>
      <c r="Q235" s="7"/>
      <c r="R235" s="7">
        <f>SUM(R233:R234)</f>
        <v>1.85</v>
      </c>
    </row>
    <row r="236" spans="1:18" ht="23.25" customHeight="1">
      <c r="A236" s="33"/>
      <c r="B236" s="121" t="s">
        <v>107</v>
      </c>
      <c r="C236" s="180"/>
      <c r="D236" s="180"/>
      <c r="E236" s="180"/>
      <c r="F236" s="180"/>
      <c r="G236" s="180"/>
      <c r="H236" s="180"/>
      <c r="I236" s="180"/>
      <c r="J236" s="180"/>
      <c r="K236" s="180"/>
      <c r="L236" s="180"/>
      <c r="M236" s="180"/>
      <c r="N236" s="180"/>
      <c r="O236" s="180"/>
      <c r="P236" s="180"/>
      <c r="Q236" s="180"/>
      <c r="R236" s="181"/>
    </row>
    <row r="237" spans="1:18" ht="18">
      <c r="A237" s="33"/>
      <c r="B237" s="31" t="s">
        <v>68</v>
      </c>
      <c r="C237" s="7">
        <v>110</v>
      </c>
      <c r="D237" s="7">
        <v>0</v>
      </c>
      <c r="E237" s="7">
        <f>C237-D237</f>
        <v>110</v>
      </c>
      <c r="F237" s="7">
        <f>E237*1.5%</f>
        <v>1.65</v>
      </c>
      <c r="G237" s="7">
        <f>E237*0.5%</f>
        <v>0.55000000000000004</v>
      </c>
      <c r="H237" s="7">
        <f>E237*21%</f>
        <v>23.099999999999998</v>
      </c>
      <c r="I237" s="7">
        <f>E237*96%</f>
        <v>105.6</v>
      </c>
      <c r="J237" s="7">
        <v>0</v>
      </c>
      <c r="K237" s="7">
        <v>8.6999999999999993</v>
      </c>
      <c r="L237" s="7">
        <v>3</v>
      </c>
      <c r="M237" s="7">
        <v>5</v>
      </c>
      <c r="N237" s="7">
        <v>22</v>
      </c>
      <c r="O237" s="7">
        <v>27</v>
      </c>
      <c r="P237" s="7">
        <v>0.3</v>
      </c>
      <c r="Q237" s="7">
        <v>122</v>
      </c>
      <c r="R237" s="7">
        <f>C237/1000*122</f>
        <v>13.42</v>
      </c>
    </row>
    <row r="238" spans="1:18" s="76" customFormat="1" ht="21">
      <c r="A238" s="75"/>
      <c r="B238" s="227" t="s">
        <v>94</v>
      </c>
      <c r="C238" s="228"/>
      <c r="D238" s="228"/>
      <c r="E238" s="228"/>
      <c r="F238" s="228"/>
      <c r="G238" s="228"/>
      <c r="H238" s="228"/>
      <c r="I238" s="228"/>
      <c r="J238" s="228"/>
      <c r="K238" s="228"/>
      <c r="L238" s="228"/>
      <c r="M238" s="228"/>
      <c r="N238" s="228"/>
      <c r="O238" s="228"/>
      <c r="P238" s="228"/>
      <c r="Q238" s="228"/>
      <c r="R238" s="229"/>
    </row>
    <row r="239" spans="1:18" ht="18">
      <c r="A239" s="36"/>
      <c r="B239" s="31" t="s">
        <v>68</v>
      </c>
      <c r="C239" s="27">
        <v>3</v>
      </c>
      <c r="D239" s="7">
        <v>0</v>
      </c>
      <c r="E239" s="27">
        <f>C239-D239</f>
        <v>3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20</v>
      </c>
      <c r="R239" s="27">
        <f>C239/1000*20</f>
        <v>0.06</v>
      </c>
    </row>
    <row r="240" spans="1:18" ht="18">
      <c r="A240" s="36"/>
      <c r="B240" s="31"/>
      <c r="C240" s="27"/>
      <c r="D240" s="7"/>
      <c r="E240" s="2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27"/>
    </row>
    <row r="241" spans="1:18" ht="23.4">
      <c r="A241" s="36"/>
      <c r="B241" s="25" t="s">
        <v>68</v>
      </c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>
        <f>R239+R237+R235+R231+R229+R223</f>
        <v>61.015000000000001</v>
      </c>
    </row>
    <row r="242" spans="1:18" s="270" customFormat="1" ht="23.25" customHeight="1">
      <c r="A242" s="266" t="s">
        <v>138</v>
      </c>
      <c r="B242" s="264"/>
      <c r="C242" s="264"/>
      <c r="D242" s="264"/>
      <c r="E242" s="264"/>
      <c r="F242" s="264"/>
      <c r="G242" s="264"/>
      <c r="H242" s="264"/>
      <c r="I242" s="264"/>
      <c r="J242" s="264"/>
      <c r="K242" s="264"/>
      <c r="L242" s="264"/>
      <c r="M242" s="264"/>
      <c r="N242" s="264"/>
      <c r="O242" s="264"/>
      <c r="P242" s="264"/>
      <c r="Q242" s="264"/>
      <c r="R242" s="264"/>
    </row>
    <row r="243" spans="1:18" s="270" customFormat="1" ht="23.25" customHeight="1">
      <c r="A243" s="266"/>
      <c r="B243" s="264"/>
      <c r="C243" s="264"/>
      <c r="D243" s="264"/>
      <c r="E243" s="264"/>
      <c r="F243" s="264"/>
      <c r="G243" s="264"/>
      <c r="H243" s="264"/>
      <c r="I243" s="264"/>
      <c r="J243" s="264"/>
      <c r="K243" s="264"/>
      <c r="L243" s="264"/>
      <c r="M243" s="264"/>
      <c r="N243" s="264"/>
      <c r="O243" s="264"/>
      <c r="P243" s="264"/>
      <c r="Q243" s="264"/>
      <c r="R243" s="264"/>
    </row>
    <row r="244" spans="1:18" s="270" customFormat="1" ht="23.25" customHeight="1">
      <c r="A244" s="266"/>
      <c r="B244" s="264"/>
      <c r="C244" s="264"/>
      <c r="D244" s="264"/>
      <c r="E244" s="264"/>
      <c r="F244" s="264"/>
      <c r="G244" s="264"/>
      <c r="H244" s="264"/>
      <c r="I244" s="264"/>
      <c r="J244" s="264"/>
      <c r="K244" s="264"/>
      <c r="L244" s="264"/>
      <c r="M244" s="264"/>
      <c r="N244" s="264"/>
      <c r="O244" s="264"/>
      <c r="P244" s="264"/>
      <c r="Q244" s="264"/>
      <c r="R244" s="264"/>
    </row>
    <row r="245" spans="1:18" ht="17.399999999999999">
      <c r="A245" s="185"/>
      <c r="B245" s="135" t="s">
        <v>0</v>
      </c>
      <c r="C245" s="187" t="s">
        <v>84</v>
      </c>
      <c r="D245" s="190" t="s">
        <v>19</v>
      </c>
      <c r="E245" s="190" t="s">
        <v>18</v>
      </c>
      <c r="F245" s="146" t="s">
        <v>1</v>
      </c>
      <c r="G245" s="146" t="s">
        <v>2</v>
      </c>
      <c r="H245" s="142" t="s">
        <v>3</v>
      </c>
      <c r="I245" s="146" t="s">
        <v>4</v>
      </c>
      <c r="J245" s="193" t="s">
        <v>5</v>
      </c>
      <c r="K245" s="193"/>
      <c r="L245" s="193"/>
      <c r="M245" s="193" t="s">
        <v>6</v>
      </c>
      <c r="N245" s="193"/>
      <c r="O245" s="193"/>
      <c r="P245" s="193"/>
      <c r="Q245" s="146" t="s">
        <v>65</v>
      </c>
      <c r="R245" s="194" t="s">
        <v>102</v>
      </c>
    </row>
    <row r="246" spans="1:18">
      <c r="A246" s="186"/>
      <c r="B246" s="135"/>
      <c r="C246" s="188"/>
      <c r="D246" s="191"/>
      <c r="E246" s="191"/>
      <c r="F246" s="147"/>
      <c r="G246" s="147"/>
      <c r="H246" s="143"/>
      <c r="I246" s="147"/>
      <c r="J246" s="146" t="s">
        <v>7</v>
      </c>
      <c r="K246" s="190" t="s">
        <v>8</v>
      </c>
      <c r="L246" s="146" t="s">
        <v>9</v>
      </c>
      <c r="M246" s="146" t="s">
        <v>10</v>
      </c>
      <c r="N246" s="146" t="s">
        <v>11</v>
      </c>
      <c r="O246" s="146" t="s">
        <v>12</v>
      </c>
      <c r="P246" s="146" t="s">
        <v>13</v>
      </c>
      <c r="Q246" s="147"/>
      <c r="R246" s="195"/>
    </row>
    <row r="247" spans="1:18" ht="17.399999999999999">
      <c r="A247" s="42"/>
      <c r="B247" s="40"/>
      <c r="C247" s="189"/>
      <c r="D247" s="192"/>
      <c r="E247" s="192"/>
      <c r="F247" s="148"/>
      <c r="G247" s="148"/>
      <c r="H247" s="144"/>
      <c r="I247" s="148"/>
      <c r="J247" s="148"/>
      <c r="K247" s="192"/>
      <c r="L247" s="148"/>
      <c r="M247" s="148"/>
      <c r="N247" s="148"/>
      <c r="O247" s="148"/>
      <c r="P247" s="148"/>
      <c r="Q247" s="148"/>
      <c r="R247" s="196"/>
    </row>
    <row r="248" spans="1:18" ht="21">
      <c r="A248" s="33"/>
      <c r="B248" s="154" t="s">
        <v>104</v>
      </c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6"/>
    </row>
    <row r="249" spans="1:18" ht="18">
      <c r="A249" s="33"/>
      <c r="B249" s="3" t="s">
        <v>76</v>
      </c>
      <c r="C249" s="4">
        <v>50</v>
      </c>
      <c r="D249" s="4">
        <v>0</v>
      </c>
      <c r="E249" s="4">
        <f>C249-D249</f>
        <v>50</v>
      </c>
      <c r="F249" s="4">
        <f>E249*12.6%</f>
        <v>6.3</v>
      </c>
      <c r="G249" s="4">
        <f>E249*3.3%</f>
        <v>1.6500000000000001</v>
      </c>
      <c r="H249" s="4">
        <f>E249*62.1%</f>
        <v>31.05</v>
      </c>
      <c r="I249" s="4">
        <f>E249*335%</f>
        <v>167.5</v>
      </c>
      <c r="J249" s="4">
        <f>E249*0.43%</f>
        <v>0.215</v>
      </c>
      <c r="K249" s="4">
        <v>0</v>
      </c>
      <c r="L249" s="4">
        <v>0</v>
      </c>
      <c r="M249" s="4">
        <f>E249*20%</f>
        <v>10</v>
      </c>
      <c r="N249" s="4">
        <f>E249*298%</f>
        <v>149</v>
      </c>
      <c r="O249" s="4">
        <f>E249*200%</f>
        <v>100</v>
      </c>
      <c r="P249" s="4">
        <f>E249*6.7%</f>
        <v>3.35</v>
      </c>
      <c r="Q249" s="4">
        <v>67</v>
      </c>
      <c r="R249" s="24">
        <f>C249/1000*67</f>
        <v>3.35</v>
      </c>
    </row>
    <row r="250" spans="1:18" ht="18">
      <c r="A250" s="33"/>
      <c r="B250" s="3" t="s">
        <v>21</v>
      </c>
      <c r="C250" s="4">
        <v>15</v>
      </c>
      <c r="D250" s="4">
        <v>0</v>
      </c>
      <c r="E250" s="4">
        <f>C250-D250</f>
        <v>15</v>
      </c>
      <c r="F250" s="4">
        <f>E250*0.5%</f>
        <v>7.4999999999999997E-2</v>
      </c>
      <c r="G250" s="4">
        <f>E250*82.5%</f>
        <v>12.375</v>
      </c>
      <c r="H250" s="4">
        <f>E250*0.8%</f>
        <v>0.12</v>
      </c>
      <c r="I250" s="4">
        <f>E250*748%</f>
        <v>112.2</v>
      </c>
      <c r="J250" s="4">
        <v>0</v>
      </c>
      <c r="K250" s="4">
        <v>0</v>
      </c>
      <c r="L250" s="4">
        <f>E250*0.59%</f>
        <v>8.8499999999999995E-2</v>
      </c>
      <c r="M250" s="4">
        <f>E250*12%</f>
        <v>1.7999999999999998</v>
      </c>
      <c r="N250" s="4">
        <f>E250*19%</f>
        <v>2.85</v>
      </c>
      <c r="O250" s="4">
        <f>E250*0.4%</f>
        <v>0.06</v>
      </c>
      <c r="P250" s="4">
        <f>E250*0.2%</f>
        <v>0.03</v>
      </c>
      <c r="Q250" s="4">
        <v>480</v>
      </c>
      <c r="R250" s="24">
        <f>C250/1000*480</f>
        <v>7.1999999999999993</v>
      </c>
    </row>
    <row r="251" spans="1:18" ht="18">
      <c r="A251" s="33"/>
      <c r="B251" s="26" t="s">
        <v>68</v>
      </c>
      <c r="C251" s="7">
        <f>C250+C249</f>
        <v>65</v>
      </c>
      <c r="D251" s="7">
        <f t="shared" ref="D251" si="28">SUM(D249:D250)</f>
        <v>0</v>
      </c>
      <c r="E251" s="7">
        <v>150</v>
      </c>
      <c r="F251" s="7">
        <f t="shared" ref="F251:P251" si="29">SUM(F249:F250)</f>
        <v>6.375</v>
      </c>
      <c r="G251" s="7">
        <f t="shared" si="29"/>
        <v>14.025</v>
      </c>
      <c r="H251" s="7">
        <f t="shared" si="29"/>
        <v>31.17</v>
      </c>
      <c r="I251" s="7">
        <f t="shared" si="29"/>
        <v>279.7</v>
      </c>
      <c r="J251" s="7">
        <f t="shared" si="29"/>
        <v>0.215</v>
      </c>
      <c r="K251" s="7">
        <f t="shared" si="29"/>
        <v>0</v>
      </c>
      <c r="L251" s="7">
        <f t="shared" si="29"/>
        <v>8.8499999999999995E-2</v>
      </c>
      <c r="M251" s="7">
        <f t="shared" si="29"/>
        <v>11.8</v>
      </c>
      <c r="N251" s="7">
        <f t="shared" si="29"/>
        <v>151.85</v>
      </c>
      <c r="O251" s="7">
        <f t="shared" si="29"/>
        <v>100.06</v>
      </c>
      <c r="P251" s="7">
        <f t="shared" si="29"/>
        <v>3.38</v>
      </c>
      <c r="Q251" s="7"/>
      <c r="R251" s="7">
        <f t="shared" ref="R251" si="30">SUM(R249:R250)</f>
        <v>10.549999999999999</v>
      </c>
    </row>
    <row r="252" spans="1:18" ht="21">
      <c r="A252" s="33"/>
      <c r="B252" s="154" t="s">
        <v>95</v>
      </c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6"/>
    </row>
    <row r="253" spans="1:18" ht="18">
      <c r="A253" s="33"/>
      <c r="B253" s="3" t="s">
        <v>72</v>
      </c>
      <c r="C253" s="4">
        <v>90</v>
      </c>
      <c r="D253" s="4">
        <f>C253*25%</f>
        <v>22.5</v>
      </c>
      <c r="E253" s="4">
        <f>C253-D253</f>
        <v>67.5</v>
      </c>
      <c r="F253" s="4">
        <f>E253*18.2%</f>
        <v>12.285</v>
      </c>
      <c r="G253" s="4">
        <f>E253*18.4%</f>
        <v>12.42</v>
      </c>
      <c r="H253" s="4">
        <f>E253*0.7%</f>
        <v>0.47249999999999998</v>
      </c>
      <c r="I253" s="4">
        <f>E253*241%</f>
        <v>162.67500000000001</v>
      </c>
      <c r="J253" s="4">
        <f>E253*0.07%</f>
        <v>4.7250000000000007E-2</v>
      </c>
      <c r="K253" s="4">
        <v>0</v>
      </c>
      <c r="L253" s="4">
        <f>E253*0.07%</f>
        <v>4.7250000000000007E-2</v>
      </c>
      <c r="M253" s="4">
        <f>E253*16%</f>
        <v>10.8</v>
      </c>
      <c r="N253" s="4">
        <f>E253*165%</f>
        <v>111.375</v>
      </c>
      <c r="O253" s="4">
        <f>E253*18%</f>
        <v>12.15</v>
      </c>
      <c r="P253" s="4">
        <f>E253*1.6%</f>
        <v>1.08</v>
      </c>
      <c r="Q253" s="4">
        <v>270</v>
      </c>
      <c r="R253" s="4">
        <f>C253/1000*270</f>
        <v>24.3</v>
      </c>
    </row>
    <row r="254" spans="1:18" ht="18">
      <c r="A254" s="33"/>
      <c r="B254" s="31" t="s">
        <v>68</v>
      </c>
      <c r="C254" s="7">
        <f>SUM(C253:C253)</f>
        <v>90</v>
      </c>
      <c r="D254" s="7">
        <f>SUM(D253:D253)</f>
        <v>22.5</v>
      </c>
      <c r="E254" s="7">
        <f>C254-D254</f>
        <v>67.5</v>
      </c>
      <c r="F254" s="7">
        <f t="shared" ref="F254:P254" si="31">SUM(F253:F253)</f>
        <v>12.285</v>
      </c>
      <c r="G254" s="7">
        <f t="shared" si="31"/>
        <v>12.42</v>
      </c>
      <c r="H254" s="7">
        <f t="shared" si="31"/>
        <v>0.47249999999999998</v>
      </c>
      <c r="I254" s="7">
        <f t="shared" si="31"/>
        <v>162.67500000000001</v>
      </c>
      <c r="J254" s="7">
        <f t="shared" si="31"/>
        <v>4.7250000000000007E-2</v>
      </c>
      <c r="K254" s="7">
        <f t="shared" si="31"/>
        <v>0</v>
      </c>
      <c r="L254" s="7">
        <f t="shared" si="31"/>
        <v>4.7250000000000007E-2</v>
      </c>
      <c r="M254" s="7">
        <f t="shared" si="31"/>
        <v>10.8</v>
      </c>
      <c r="N254" s="7">
        <f t="shared" si="31"/>
        <v>111.375</v>
      </c>
      <c r="O254" s="7">
        <f t="shared" si="31"/>
        <v>12.15</v>
      </c>
      <c r="P254" s="7">
        <f t="shared" si="31"/>
        <v>1.08</v>
      </c>
      <c r="Q254" s="7"/>
      <c r="R254" s="7">
        <f t="shared" ref="R254" si="32">SUM(R253:R253)</f>
        <v>24.3</v>
      </c>
    </row>
    <row r="255" spans="1:18" ht="21">
      <c r="A255" s="33"/>
      <c r="B255" s="130" t="s">
        <v>92</v>
      </c>
      <c r="C255" s="131"/>
      <c r="D255" s="131"/>
      <c r="E255" s="131"/>
      <c r="F255" s="131"/>
      <c r="G255" s="131"/>
      <c r="H255" s="131"/>
      <c r="I255" s="131"/>
      <c r="J255" s="131"/>
      <c r="K255" s="131"/>
      <c r="L255" s="131"/>
      <c r="M255" s="131"/>
      <c r="N255" s="131"/>
      <c r="O255" s="131"/>
      <c r="P255" s="131"/>
      <c r="Q255" s="131"/>
      <c r="R255" s="132"/>
    </row>
    <row r="256" spans="1:18" ht="18">
      <c r="A256" s="33"/>
      <c r="B256" s="31" t="s">
        <v>68</v>
      </c>
      <c r="C256" s="7">
        <v>50</v>
      </c>
      <c r="D256" s="7">
        <v>0</v>
      </c>
      <c r="E256" s="7">
        <v>50</v>
      </c>
      <c r="F256" s="7">
        <f>E256*7.9%</f>
        <v>3.95</v>
      </c>
      <c r="G256" s="7">
        <f>E256*1%</f>
        <v>0.5</v>
      </c>
      <c r="H256" s="7">
        <f>E256*48.1%</f>
        <v>24.05</v>
      </c>
      <c r="I256" s="7">
        <f>E256*239%</f>
        <v>119.5</v>
      </c>
      <c r="J256" s="7">
        <f>E256*0.16%</f>
        <v>0.08</v>
      </c>
      <c r="K256" s="7">
        <v>0</v>
      </c>
      <c r="L256" s="7">
        <v>0</v>
      </c>
      <c r="M256" s="7">
        <f>E256*23%</f>
        <v>11.5</v>
      </c>
      <c r="N256" s="7">
        <f>E256*87%</f>
        <v>43.5</v>
      </c>
      <c r="O256" s="7">
        <f>E256*33%</f>
        <v>16.5</v>
      </c>
      <c r="P256" s="7">
        <f>E256*2%</f>
        <v>1</v>
      </c>
      <c r="Q256" s="7">
        <v>50</v>
      </c>
      <c r="R256" s="7">
        <f>C256/1000*50</f>
        <v>2.5</v>
      </c>
    </row>
    <row r="257" spans="1:18" ht="21">
      <c r="A257" s="33"/>
      <c r="B257" s="130" t="s">
        <v>97</v>
      </c>
      <c r="C257" s="131"/>
      <c r="D257" s="131"/>
      <c r="E257" s="131"/>
      <c r="F257" s="131"/>
      <c r="G257" s="131"/>
      <c r="H257" s="131"/>
      <c r="I257" s="131"/>
      <c r="J257" s="131"/>
      <c r="K257" s="131"/>
      <c r="L257" s="131"/>
      <c r="M257" s="131"/>
      <c r="N257" s="131"/>
      <c r="O257" s="131"/>
      <c r="P257" s="131"/>
      <c r="Q257" s="131"/>
      <c r="R257" s="132"/>
    </row>
    <row r="258" spans="1:18" ht="18">
      <c r="A258" s="33"/>
      <c r="B258" s="4" t="s">
        <v>66</v>
      </c>
      <c r="C258" s="4">
        <v>15</v>
      </c>
      <c r="D258" s="4">
        <v>0</v>
      </c>
      <c r="E258" s="4">
        <v>15</v>
      </c>
      <c r="F258" s="4">
        <f>E258*5.2%</f>
        <v>0.78</v>
      </c>
      <c r="G258" s="4">
        <v>0</v>
      </c>
      <c r="H258" s="4">
        <f>E258*55%</f>
        <v>8.25</v>
      </c>
      <c r="I258" s="4">
        <f>E258*234%</f>
        <v>35.099999999999994</v>
      </c>
      <c r="J258" s="4">
        <f>E258*0.1%</f>
        <v>1.4999999999999999E-2</v>
      </c>
      <c r="K258" s="4">
        <f>E258*4%</f>
        <v>0.6</v>
      </c>
      <c r="L258" s="4">
        <v>0</v>
      </c>
      <c r="M258" s="4">
        <f>E258*160%</f>
        <v>24</v>
      </c>
      <c r="N258" s="4">
        <f>E258*146%</f>
        <v>21.9</v>
      </c>
      <c r="O258" s="4">
        <f>E258*105%</f>
        <v>15.75</v>
      </c>
      <c r="P258" s="4">
        <f>E258*3.2%</f>
        <v>0.48</v>
      </c>
      <c r="Q258" s="4">
        <v>350</v>
      </c>
      <c r="R258" s="4">
        <f>C258/1000*350</f>
        <v>5.25</v>
      </c>
    </row>
    <row r="259" spans="1:18" ht="18">
      <c r="A259" s="33"/>
      <c r="B259" s="4" t="s">
        <v>67</v>
      </c>
      <c r="C259" s="4">
        <v>10</v>
      </c>
      <c r="D259" s="4">
        <v>0</v>
      </c>
      <c r="E259" s="4">
        <v>10</v>
      </c>
      <c r="F259" s="4">
        <v>0</v>
      </c>
      <c r="G259" s="4">
        <v>0</v>
      </c>
      <c r="H259" s="4">
        <f>E259*99.8%</f>
        <v>9.98</v>
      </c>
      <c r="I259" s="4">
        <f>E259*379%</f>
        <v>37.9</v>
      </c>
      <c r="J259" s="4">
        <v>0</v>
      </c>
      <c r="K259" s="4">
        <v>0</v>
      </c>
      <c r="L259" s="4">
        <v>0</v>
      </c>
      <c r="M259" s="4">
        <f>E259*2%</f>
        <v>0.2</v>
      </c>
      <c r="N259" s="4">
        <v>0</v>
      </c>
      <c r="O259" s="4">
        <v>0</v>
      </c>
      <c r="P259" s="4">
        <f>E259*0.3%</f>
        <v>0.03</v>
      </c>
      <c r="Q259" s="4">
        <v>60</v>
      </c>
      <c r="R259" s="4">
        <f>C259/1000*60</f>
        <v>0.6</v>
      </c>
    </row>
    <row r="260" spans="1:18" ht="18">
      <c r="A260" s="33"/>
      <c r="B260" s="31" t="s">
        <v>68</v>
      </c>
      <c r="C260" s="7">
        <v>25</v>
      </c>
      <c r="D260" s="7">
        <f t="shared" ref="D260" si="33">SUM(D258:D259)</f>
        <v>0</v>
      </c>
      <c r="E260" s="7">
        <v>150</v>
      </c>
      <c r="F260" s="7">
        <f t="shared" ref="F260:P260" si="34">SUM(F258:F259)</f>
        <v>0.78</v>
      </c>
      <c r="G260" s="7">
        <f t="shared" si="34"/>
        <v>0</v>
      </c>
      <c r="H260" s="7">
        <f t="shared" si="34"/>
        <v>18.23</v>
      </c>
      <c r="I260" s="7">
        <f t="shared" si="34"/>
        <v>73</v>
      </c>
      <c r="J260" s="7">
        <f t="shared" si="34"/>
        <v>1.4999999999999999E-2</v>
      </c>
      <c r="K260" s="7">
        <f t="shared" si="34"/>
        <v>0.6</v>
      </c>
      <c r="L260" s="7">
        <f t="shared" si="34"/>
        <v>0</v>
      </c>
      <c r="M260" s="7">
        <f t="shared" si="34"/>
        <v>24.2</v>
      </c>
      <c r="N260" s="7">
        <f t="shared" si="34"/>
        <v>21.9</v>
      </c>
      <c r="O260" s="7">
        <f t="shared" si="34"/>
        <v>15.75</v>
      </c>
      <c r="P260" s="7">
        <f t="shared" si="34"/>
        <v>0.51</v>
      </c>
      <c r="Q260" s="7"/>
      <c r="R260" s="7">
        <f>SUM(R258:R259)</f>
        <v>5.85</v>
      </c>
    </row>
    <row r="261" spans="1:18" ht="18">
      <c r="A261" s="33"/>
      <c r="B261" s="212" t="s">
        <v>98</v>
      </c>
      <c r="C261" s="216"/>
      <c r="D261" s="216"/>
      <c r="E261" s="216"/>
      <c r="F261" s="216"/>
      <c r="G261" s="216"/>
      <c r="H261" s="216"/>
      <c r="I261" s="216"/>
      <c r="J261" s="216"/>
      <c r="K261" s="216"/>
      <c r="L261" s="216"/>
      <c r="M261" s="216"/>
      <c r="N261" s="216"/>
      <c r="O261" s="216"/>
      <c r="P261" s="216"/>
      <c r="Q261" s="216"/>
      <c r="R261" s="217"/>
    </row>
    <row r="262" spans="1:18" ht="18">
      <c r="A262" s="33"/>
      <c r="B262" s="31" t="s">
        <v>68</v>
      </c>
      <c r="C262" s="7">
        <v>40</v>
      </c>
      <c r="D262" s="7">
        <v>0</v>
      </c>
      <c r="E262" s="7">
        <f>C262-D262</f>
        <v>40</v>
      </c>
      <c r="F262" s="4">
        <f>E262*7.5%</f>
        <v>3</v>
      </c>
      <c r="G262" s="4">
        <f>E262*11.8%</f>
        <v>4.7200000000000006</v>
      </c>
      <c r="H262" s="4">
        <f>E262*74.4%</f>
        <v>29.760000000000005</v>
      </c>
      <c r="I262" s="4">
        <f>E262*436%</f>
        <v>174.4</v>
      </c>
      <c r="J262" s="4">
        <f>E262*0.08%</f>
        <v>3.2000000000000001E-2</v>
      </c>
      <c r="K262" s="4">
        <f>E262*0%</f>
        <v>0</v>
      </c>
      <c r="L262" s="4">
        <f>E262*0%</f>
        <v>0</v>
      </c>
      <c r="M262" s="4">
        <f>E262*29%</f>
        <v>11.6</v>
      </c>
      <c r="N262" s="4">
        <f>E262*90%</f>
        <v>36</v>
      </c>
      <c r="O262" s="4">
        <f>E262*20%</f>
        <v>8</v>
      </c>
      <c r="P262" s="4">
        <f>E262*2.1%</f>
        <v>0.84000000000000008</v>
      </c>
      <c r="Q262" s="4">
        <v>160</v>
      </c>
      <c r="R262" s="7">
        <f>C262/1000*160</f>
        <v>6.4</v>
      </c>
    </row>
    <row r="263" spans="1:18" ht="24.75" customHeight="1">
      <c r="A263" s="33"/>
      <c r="B263" s="130" t="s">
        <v>96</v>
      </c>
      <c r="C263" s="133"/>
      <c r="D263" s="133"/>
      <c r="E263" s="133"/>
      <c r="F263" s="133"/>
      <c r="G263" s="133"/>
      <c r="H263" s="133"/>
      <c r="I263" s="133"/>
      <c r="J263" s="133"/>
      <c r="K263" s="133"/>
      <c r="L263" s="133"/>
      <c r="M263" s="133"/>
      <c r="N263" s="133"/>
      <c r="O263" s="133"/>
      <c r="P263" s="133"/>
      <c r="Q263" s="133"/>
      <c r="R263" s="134"/>
    </row>
    <row r="264" spans="1:18" ht="18">
      <c r="A264" s="33"/>
      <c r="B264" s="31" t="s">
        <v>68</v>
      </c>
      <c r="C264" s="7">
        <v>145</v>
      </c>
      <c r="D264" s="7">
        <v>0</v>
      </c>
      <c r="E264" s="7">
        <f>C264-D264</f>
        <v>145</v>
      </c>
      <c r="F264" s="7">
        <f>E264*0.4%</f>
        <v>0.57999999999999996</v>
      </c>
      <c r="G264" s="7">
        <f>E264*0.4%</f>
        <v>0.57999999999999996</v>
      </c>
      <c r="H264" s="7">
        <f>E264*9.8%</f>
        <v>14.21</v>
      </c>
      <c r="I264" s="7">
        <f>E264*45%</f>
        <v>65.25</v>
      </c>
      <c r="J264" s="7">
        <f>E264*0.03%</f>
        <v>4.3499999999999997E-2</v>
      </c>
      <c r="K264" s="7">
        <f>E264*13%</f>
        <v>18.850000000000001</v>
      </c>
      <c r="L264" s="7">
        <v>0</v>
      </c>
      <c r="M264" s="7">
        <f>E264*16%</f>
        <v>23.2</v>
      </c>
      <c r="N264" s="7">
        <f>E264*11%</f>
        <v>15.95</v>
      </c>
      <c r="O264" s="7">
        <f>E264*9%</f>
        <v>13.049999999999999</v>
      </c>
      <c r="P264" s="7">
        <f>E264*2.2%</f>
        <v>3.1900000000000004</v>
      </c>
      <c r="Q264" s="7">
        <v>78</v>
      </c>
      <c r="R264" s="7">
        <f>C264/1000*78</f>
        <v>11.309999999999999</v>
      </c>
    </row>
    <row r="265" spans="1:18" ht="21">
      <c r="A265" s="36"/>
      <c r="B265" s="121" t="s">
        <v>90</v>
      </c>
      <c r="C265" s="122"/>
      <c r="D265" s="122"/>
      <c r="E265" s="122"/>
      <c r="F265" s="122"/>
      <c r="G265" s="122"/>
      <c r="H265" s="122"/>
      <c r="I265" s="122"/>
      <c r="J265" s="122"/>
      <c r="K265" s="122"/>
      <c r="L265" s="122"/>
      <c r="M265" s="122"/>
      <c r="N265" s="122"/>
      <c r="O265" s="122"/>
      <c r="P265" s="122"/>
      <c r="Q265" s="122"/>
      <c r="R265" s="123"/>
    </row>
    <row r="266" spans="1:18" ht="18">
      <c r="A266" s="36"/>
      <c r="B266" s="31" t="s">
        <v>68</v>
      </c>
      <c r="C266" s="27">
        <v>3</v>
      </c>
      <c r="D266" s="7">
        <v>0</v>
      </c>
      <c r="E266" s="27">
        <f>C266-D266</f>
        <v>3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20</v>
      </c>
      <c r="R266" s="27">
        <f>C266/1000*20</f>
        <v>0.06</v>
      </c>
    </row>
    <row r="267" spans="1:18" ht="18">
      <c r="A267" s="36"/>
      <c r="B267" s="31"/>
      <c r="C267" s="27"/>
      <c r="D267" s="7"/>
      <c r="E267" s="2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27"/>
    </row>
    <row r="268" spans="1:18" ht="23.25" customHeight="1">
      <c r="A268" s="36"/>
      <c r="B268" s="25" t="s">
        <v>68</v>
      </c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>
        <f>R266+R264+R262+R260+R256+R254+R251</f>
        <v>60.97</v>
      </c>
    </row>
    <row r="269" spans="1:18" s="266" customFormat="1" ht="27" customHeight="1">
      <c r="A269" s="271" t="s">
        <v>139</v>
      </c>
      <c r="B269" s="272"/>
      <c r="C269" s="272"/>
      <c r="D269" s="272"/>
      <c r="E269" s="272"/>
      <c r="F269" s="272"/>
      <c r="G269" s="272"/>
      <c r="H269" s="272"/>
      <c r="I269" s="272"/>
      <c r="J269" s="272"/>
      <c r="K269" s="272"/>
      <c r="L269" s="272"/>
      <c r="M269" s="272"/>
      <c r="N269" s="272"/>
      <c r="O269" s="272"/>
      <c r="P269" s="272"/>
      <c r="Q269" s="272"/>
      <c r="R269" s="272"/>
    </row>
    <row r="270" spans="1:18" s="266" customFormat="1" ht="27" customHeight="1">
      <c r="B270" s="264"/>
      <c r="C270" s="264"/>
      <c r="D270" s="264"/>
      <c r="E270" s="264"/>
      <c r="F270" s="264"/>
      <c r="G270" s="264"/>
      <c r="H270" s="264"/>
      <c r="I270" s="264"/>
      <c r="J270" s="264"/>
      <c r="K270" s="264"/>
      <c r="L270" s="264"/>
      <c r="M270" s="264"/>
      <c r="N270" s="264"/>
      <c r="O270" s="264"/>
      <c r="P270" s="264"/>
      <c r="Q270" s="264"/>
      <c r="R270" s="264"/>
    </row>
    <row r="271" spans="1:18" s="266" customFormat="1" ht="27" customHeight="1">
      <c r="B271" s="264"/>
      <c r="C271" s="264"/>
      <c r="D271" s="264"/>
      <c r="E271" s="264"/>
      <c r="F271" s="264"/>
      <c r="G271" s="264"/>
      <c r="H271" s="264"/>
      <c r="I271" s="264"/>
      <c r="J271" s="264"/>
      <c r="K271" s="264"/>
      <c r="L271" s="264"/>
      <c r="M271" s="264"/>
      <c r="N271" s="264"/>
      <c r="O271" s="264"/>
      <c r="P271" s="264"/>
      <c r="Q271" s="264"/>
      <c r="R271" s="264"/>
    </row>
    <row r="272" spans="1:18" ht="18">
      <c r="A272" s="36"/>
      <c r="B272" s="135" t="s">
        <v>0</v>
      </c>
      <c r="C272" s="136" t="s">
        <v>17</v>
      </c>
      <c r="D272" s="139" t="s">
        <v>19</v>
      </c>
      <c r="E272" s="139" t="s">
        <v>18</v>
      </c>
      <c r="F272" s="142" t="s">
        <v>1</v>
      </c>
      <c r="G272" s="142" t="s">
        <v>2</v>
      </c>
      <c r="H272" s="142" t="s">
        <v>3</v>
      </c>
      <c r="I272" s="142" t="s">
        <v>4</v>
      </c>
      <c r="J272" s="145" t="s">
        <v>5</v>
      </c>
      <c r="K272" s="145"/>
      <c r="L272" s="145"/>
      <c r="M272" s="145" t="s">
        <v>6</v>
      </c>
      <c r="N272" s="145"/>
      <c r="O272" s="145"/>
      <c r="P272" s="145"/>
      <c r="Q272" s="146" t="s">
        <v>65</v>
      </c>
      <c r="R272" s="149" t="s">
        <v>102</v>
      </c>
    </row>
    <row r="273" spans="1:18" ht="18">
      <c r="A273" s="36"/>
      <c r="B273" s="135"/>
      <c r="C273" s="137"/>
      <c r="D273" s="140"/>
      <c r="E273" s="140"/>
      <c r="F273" s="143"/>
      <c r="G273" s="143"/>
      <c r="H273" s="143"/>
      <c r="I273" s="143"/>
      <c r="J273" s="142" t="s">
        <v>7</v>
      </c>
      <c r="K273" s="152" t="s">
        <v>8</v>
      </c>
      <c r="L273" s="142" t="s">
        <v>9</v>
      </c>
      <c r="M273" s="142" t="s">
        <v>10</v>
      </c>
      <c r="N273" s="142" t="s">
        <v>11</v>
      </c>
      <c r="O273" s="142" t="s">
        <v>12</v>
      </c>
      <c r="P273" s="142" t="s">
        <v>13</v>
      </c>
      <c r="Q273" s="147"/>
      <c r="R273" s="150"/>
    </row>
    <row r="274" spans="1:18" ht="20.399999999999999">
      <c r="A274" s="36"/>
      <c r="B274" s="2"/>
      <c r="C274" s="138"/>
      <c r="D274" s="141"/>
      <c r="E274" s="141"/>
      <c r="F274" s="144"/>
      <c r="G274" s="144"/>
      <c r="H274" s="144"/>
      <c r="I274" s="144"/>
      <c r="J274" s="144"/>
      <c r="K274" s="153"/>
      <c r="L274" s="144"/>
      <c r="M274" s="144"/>
      <c r="N274" s="144"/>
      <c r="O274" s="144"/>
      <c r="P274" s="144"/>
      <c r="Q274" s="148"/>
      <c r="R274" s="151"/>
    </row>
    <row r="275" spans="1:18" s="79" customFormat="1" ht="21">
      <c r="A275" s="127" t="s">
        <v>91</v>
      </c>
      <c r="B275" s="128"/>
      <c r="C275" s="128"/>
      <c r="D275" s="128"/>
      <c r="E275" s="128"/>
      <c r="F275" s="128"/>
      <c r="G275" s="128"/>
      <c r="H275" s="128"/>
      <c r="I275" s="128"/>
      <c r="J275" s="128"/>
      <c r="K275" s="128"/>
      <c r="L275" s="128"/>
      <c r="M275" s="128"/>
      <c r="N275" s="128"/>
      <c r="O275" s="128"/>
      <c r="P275" s="128"/>
      <c r="Q275" s="128"/>
      <c r="R275" s="129"/>
    </row>
    <row r="276" spans="1:18" ht="18">
      <c r="A276" s="36"/>
      <c r="B276" s="3" t="s">
        <v>70</v>
      </c>
      <c r="C276" s="4">
        <v>160</v>
      </c>
      <c r="D276" s="4">
        <f>C276*0.25</f>
        <v>40</v>
      </c>
      <c r="E276" s="4">
        <f>C276-D276</f>
        <v>120</v>
      </c>
      <c r="F276" s="4">
        <f>E276*2%</f>
        <v>2.4</v>
      </c>
      <c r="G276" s="4">
        <f>E276*0.4%</f>
        <v>0.48</v>
      </c>
      <c r="H276" s="4">
        <f>E276*16.3%</f>
        <v>19.560000000000002</v>
      </c>
      <c r="I276" s="4">
        <f>E276*80%</f>
        <v>96</v>
      </c>
      <c r="J276" s="4">
        <f>E276*0.12%</f>
        <v>0.14399999999999999</v>
      </c>
      <c r="K276" s="4">
        <f>E276*20%</f>
        <v>24</v>
      </c>
      <c r="L276" s="4">
        <v>0</v>
      </c>
      <c r="M276" s="4">
        <f>E276*10%</f>
        <v>12</v>
      </c>
      <c r="N276" s="4">
        <f>E276*58%</f>
        <v>69.599999999999994</v>
      </c>
      <c r="O276" s="4">
        <f>E276*23%</f>
        <v>27.6</v>
      </c>
      <c r="P276" s="4">
        <f>E276*0.9%</f>
        <v>1.08</v>
      </c>
      <c r="Q276" s="4">
        <v>57</v>
      </c>
      <c r="R276" s="4">
        <f>C276/1000*57</f>
        <v>9.120000000000001</v>
      </c>
    </row>
    <row r="277" spans="1:18" ht="18">
      <c r="A277" s="36"/>
      <c r="B277" s="3" t="s">
        <v>21</v>
      </c>
      <c r="C277" s="4">
        <v>15</v>
      </c>
      <c r="D277" s="4">
        <v>0</v>
      </c>
      <c r="E277" s="4">
        <f>C277-D277</f>
        <v>15</v>
      </c>
      <c r="F277" s="4">
        <f>E277*0.5%</f>
        <v>7.4999999999999997E-2</v>
      </c>
      <c r="G277" s="4">
        <f>E277*82.5%</f>
        <v>12.375</v>
      </c>
      <c r="H277" s="4">
        <f>E277*0.8%</f>
        <v>0.12</v>
      </c>
      <c r="I277" s="4">
        <f>E277*748%</f>
        <v>112.2</v>
      </c>
      <c r="J277" s="4">
        <v>0</v>
      </c>
      <c r="K277" s="4">
        <v>0</v>
      </c>
      <c r="L277" s="4">
        <f>E277*0.59%</f>
        <v>8.8499999999999995E-2</v>
      </c>
      <c r="M277" s="4">
        <f>E277*12%</f>
        <v>1.7999999999999998</v>
      </c>
      <c r="N277" s="4">
        <f>E277*19%</f>
        <v>2.85</v>
      </c>
      <c r="O277" s="4">
        <f>E277*0.4%</f>
        <v>0.06</v>
      </c>
      <c r="P277" s="4">
        <f>E277*0.2%</f>
        <v>0.03</v>
      </c>
      <c r="Q277" s="4">
        <v>480</v>
      </c>
      <c r="R277" s="24">
        <f>C277/1000*480</f>
        <v>7.1999999999999993</v>
      </c>
    </row>
    <row r="278" spans="1:18" ht="18">
      <c r="A278" s="36"/>
      <c r="B278" s="30" t="s">
        <v>68</v>
      </c>
      <c r="C278" s="7">
        <f t="shared" ref="C278:P278" si="35">SUM(C276:C277)</f>
        <v>175</v>
      </c>
      <c r="D278" s="7">
        <f t="shared" si="35"/>
        <v>40</v>
      </c>
      <c r="E278" s="7">
        <f t="shared" si="35"/>
        <v>135</v>
      </c>
      <c r="F278" s="7">
        <f t="shared" si="35"/>
        <v>2.4750000000000001</v>
      </c>
      <c r="G278" s="7">
        <f t="shared" si="35"/>
        <v>12.855</v>
      </c>
      <c r="H278" s="7">
        <f t="shared" si="35"/>
        <v>19.680000000000003</v>
      </c>
      <c r="I278" s="7">
        <f t="shared" si="35"/>
        <v>208.2</v>
      </c>
      <c r="J278" s="7">
        <f t="shared" si="35"/>
        <v>0.14399999999999999</v>
      </c>
      <c r="K278" s="7">
        <f t="shared" si="35"/>
        <v>24</v>
      </c>
      <c r="L278" s="7">
        <f t="shared" si="35"/>
        <v>8.8499999999999995E-2</v>
      </c>
      <c r="M278" s="7">
        <f t="shared" si="35"/>
        <v>13.8</v>
      </c>
      <c r="N278" s="7">
        <f t="shared" si="35"/>
        <v>72.449999999999989</v>
      </c>
      <c r="O278" s="7">
        <f t="shared" si="35"/>
        <v>27.66</v>
      </c>
      <c r="P278" s="7">
        <f t="shared" si="35"/>
        <v>1.1100000000000001</v>
      </c>
      <c r="Q278" s="7"/>
      <c r="R278" s="7">
        <f>SUM(R276:R277)</f>
        <v>16.32</v>
      </c>
    </row>
    <row r="279" spans="1:18" s="79" customFormat="1" ht="21">
      <c r="A279" s="36"/>
      <c r="B279" s="154" t="s">
        <v>95</v>
      </c>
      <c r="C279" s="155"/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6"/>
    </row>
    <row r="280" spans="1:18" ht="18">
      <c r="A280" s="36"/>
      <c r="B280" s="3" t="s">
        <v>72</v>
      </c>
      <c r="C280" s="4">
        <v>100</v>
      </c>
      <c r="D280" s="4">
        <f>C280*25%</f>
        <v>25</v>
      </c>
      <c r="E280" s="4">
        <f>C280-D280</f>
        <v>75</v>
      </c>
      <c r="F280" s="4">
        <f>E280*18.2%</f>
        <v>13.65</v>
      </c>
      <c r="G280" s="4">
        <f>E280*18.4%</f>
        <v>13.799999999999999</v>
      </c>
      <c r="H280" s="4">
        <f>E280*0.7%</f>
        <v>0.52499999999999991</v>
      </c>
      <c r="I280" s="4">
        <f>E280*241%</f>
        <v>180.75</v>
      </c>
      <c r="J280" s="4">
        <f>E280*0.07%</f>
        <v>5.2500000000000005E-2</v>
      </c>
      <c r="K280" s="4">
        <v>0</v>
      </c>
      <c r="L280" s="4">
        <f>E280*0.07%</f>
        <v>5.2500000000000005E-2</v>
      </c>
      <c r="M280" s="4">
        <f>E280*16%</f>
        <v>12</v>
      </c>
      <c r="N280" s="4">
        <f>E280*165%</f>
        <v>123.75</v>
      </c>
      <c r="O280" s="4">
        <f>E280*18%</f>
        <v>13.5</v>
      </c>
      <c r="P280" s="4">
        <f>E280*1.6%</f>
        <v>1.2</v>
      </c>
      <c r="Q280" s="4">
        <v>270</v>
      </c>
      <c r="R280" s="4">
        <f>C280/1000*270</f>
        <v>27</v>
      </c>
    </row>
    <row r="281" spans="1:18" ht="18">
      <c r="A281" s="36"/>
      <c r="B281" s="31" t="s">
        <v>68</v>
      </c>
      <c r="C281" s="7">
        <f>SUM(C280:C280)</f>
        <v>100</v>
      </c>
      <c r="D281" s="7">
        <f>SUM(D280:D280)</f>
        <v>25</v>
      </c>
      <c r="E281" s="7">
        <f>C281-D281</f>
        <v>75</v>
      </c>
      <c r="F281" s="7">
        <f t="shared" ref="F281:P281" si="36">SUM(F280:F280)</f>
        <v>13.65</v>
      </c>
      <c r="G281" s="7">
        <f t="shared" si="36"/>
        <v>13.799999999999999</v>
      </c>
      <c r="H281" s="7">
        <f t="shared" si="36"/>
        <v>0.52499999999999991</v>
      </c>
      <c r="I281" s="7">
        <f t="shared" si="36"/>
        <v>180.75</v>
      </c>
      <c r="J281" s="7">
        <f t="shared" si="36"/>
        <v>5.2500000000000005E-2</v>
      </c>
      <c r="K281" s="7">
        <f t="shared" si="36"/>
        <v>0</v>
      </c>
      <c r="L281" s="7">
        <f t="shared" si="36"/>
        <v>5.2500000000000005E-2</v>
      </c>
      <c r="M281" s="7">
        <f t="shared" si="36"/>
        <v>12</v>
      </c>
      <c r="N281" s="7">
        <f t="shared" si="36"/>
        <v>123.75</v>
      </c>
      <c r="O281" s="7">
        <f t="shared" si="36"/>
        <v>13.5</v>
      </c>
      <c r="P281" s="7">
        <f t="shared" si="36"/>
        <v>1.2</v>
      </c>
      <c r="Q281" s="7"/>
      <c r="R281" s="7">
        <f t="shared" ref="R281" si="37">SUM(R280:R280)</f>
        <v>27</v>
      </c>
    </row>
    <row r="282" spans="1:18" ht="21">
      <c r="A282" s="36"/>
      <c r="B282" s="130" t="s">
        <v>92</v>
      </c>
      <c r="C282" s="131"/>
      <c r="D282" s="131"/>
      <c r="E282" s="131"/>
      <c r="F282" s="131"/>
      <c r="G282" s="131"/>
      <c r="H282" s="131"/>
      <c r="I282" s="131"/>
      <c r="J282" s="131"/>
      <c r="K282" s="131"/>
      <c r="L282" s="131"/>
      <c r="M282" s="131"/>
      <c r="N282" s="131"/>
      <c r="O282" s="131"/>
      <c r="P282" s="131"/>
      <c r="Q282" s="131"/>
      <c r="R282" s="132"/>
    </row>
    <row r="283" spans="1:18" ht="18">
      <c r="A283" s="36"/>
      <c r="B283" s="31" t="s">
        <v>68</v>
      </c>
      <c r="C283" s="7">
        <v>50</v>
      </c>
      <c r="D283" s="7">
        <v>0</v>
      </c>
      <c r="E283" s="7">
        <v>50</v>
      </c>
      <c r="F283" s="7">
        <f>E283*7.9%</f>
        <v>3.95</v>
      </c>
      <c r="G283" s="7">
        <f>E283*1%</f>
        <v>0.5</v>
      </c>
      <c r="H283" s="7">
        <f>E283*48.1%</f>
        <v>24.05</v>
      </c>
      <c r="I283" s="7">
        <f>E283*239%</f>
        <v>119.5</v>
      </c>
      <c r="J283" s="7">
        <f>E283*0.16%</f>
        <v>0.08</v>
      </c>
      <c r="K283" s="7">
        <v>0</v>
      </c>
      <c r="L283" s="7">
        <v>0</v>
      </c>
      <c r="M283" s="7">
        <f>E283*23%</f>
        <v>11.5</v>
      </c>
      <c r="N283" s="7">
        <f>E283*87%</f>
        <v>43.5</v>
      </c>
      <c r="O283" s="7">
        <f>E283*33%</f>
        <v>16.5</v>
      </c>
      <c r="P283" s="7">
        <f>E283*2%</f>
        <v>1</v>
      </c>
      <c r="Q283" s="7">
        <v>50</v>
      </c>
      <c r="R283" s="7">
        <f>C283/1000*50</f>
        <v>2.5</v>
      </c>
    </row>
    <row r="284" spans="1:18" ht="21">
      <c r="A284" s="33"/>
      <c r="B284" s="130" t="s">
        <v>149</v>
      </c>
      <c r="C284" s="133"/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4"/>
    </row>
    <row r="285" spans="1:18" ht="18">
      <c r="A285" s="33"/>
      <c r="B285" s="4" t="s">
        <v>66</v>
      </c>
      <c r="C285" s="4">
        <v>15</v>
      </c>
      <c r="D285" s="4">
        <v>0</v>
      </c>
      <c r="E285" s="4">
        <v>15</v>
      </c>
      <c r="F285" s="4">
        <f>E285*5.2%</f>
        <v>0.78</v>
      </c>
      <c r="G285" s="4">
        <v>0</v>
      </c>
      <c r="H285" s="4">
        <f>E285*55%</f>
        <v>8.25</v>
      </c>
      <c r="I285" s="4">
        <f>E285*234%</f>
        <v>35.099999999999994</v>
      </c>
      <c r="J285" s="4">
        <f>E285*0.1%</f>
        <v>1.4999999999999999E-2</v>
      </c>
      <c r="K285" s="4">
        <f>E285*4%</f>
        <v>0.6</v>
      </c>
      <c r="L285" s="4">
        <v>0</v>
      </c>
      <c r="M285" s="4">
        <f>E285*160%</f>
        <v>24</v>
      </c>
      <c r="N285" s="4">
        <f>E285*146%</f>
        <v>21.9</v>
      </c>
      <c r="O285" s="4">
        <f>E285*105%</f>
        <v>15.75</v>
      </c>
      <c r="P285" s="4">
        <f>E285*3.2%</f>
        <v>0.48</v>
      </c>
      <c r="Q285" s="4">
        <v>350</v>
      </c>
      <c r="R285" s="4">
        <f>C285/1000*350</f>
        <v>5.25</v>
      </c>
    </row>
    <row r="286" spans="1:18" ht="18">
      <c r="A286" s="33"/>
      <c r="B286" s="4" t="s">
        <v>67</v>
      </c>
      <c r="C286" s="4">
        <v>10</v>
      </c>
      <c r="D286" s="4">
        <v>0</v>
      </c>
      <c r="E286" s="4">
        <v>10</v>
      </c>
      <c r="F286" s="4">
        <v>0</v>
      </c>
      <c r="G286" s="4">
        <v>0</v>
      </c>
      <c r="H286" s="4">
        <f>E286*99.8%</f>
        <v>9.98</v>
      </c>
      <c r="I286" s="4">
        <f>E286*379%</f>
        <v>37.9</v>
      </c>
      <c r="J286" s="4">
        <v>0</v>
      </c>
      <c r="K286" s="4">
        <v>0</v>
      </c>
      <c r="L286" s="4">
        <v>0</v>
      </c>
      <c r="M286" s="4">
        <f>E286*2%</f>
        <v>0.2</v>
      </c>
      <c r="N286" s="4">
        <v>0</v>
      </c>
      <c r="O286" s="4">
        <v>0</v>
      </c>
      <c r="P286" s="4">
        <f>E286*0.3%</f>
        <v>0.03</v>
      </c>
      <c r="Q286" s="4">
        <v>60</v>
      </c>
      <c r="R286" s="4">
        <f>C286/1000*60</f>
        <v>0.6</v>
      </c>
    </row>
    <row r="287" spans="1:18" ht="18">
      <c r="A287" s="33"/>
      <c r="B287" s="31" t="s">
        <v>68</v>
      </c>
      <c r="C287" s="7">
        <v>25</v>
      </c>
      <c r="D287" s="7">
        <f>SUM(D285:D286)</f>
        <v>0</v>
      </c>
      <c r="E287" s="7">
        <v>150</v>
      </c>
      <c r="F287" s="7">
        <f t="shared" ref="F287:P287" si="38">SUM(F285:F286)</f>
        <v>0.78</v>
      </c>
      <c r="G287" s="7">
        <f t="shared" si="38"/>
        <v>0</v>
      </c>
      <c r="H287" s="7">
        <f t="shared" si="38"/>
        <v>18.23</v>
      </c>
      <c r="I287" s="7">
        <f t="shared" si="38"/>
        <v>73</v>
      </c>
      <c r="J287" s="7">
        <f t="shared" si="38"/>
        <v>1.4999999999999999E-2</v>
      </c>
      <c r="K287" s="7">
        <f t="shared" si="38"/>
        <v>0.6</v>
      </c>
      <c r="L287" s="7">
        <f t="shared" si="38"/>
        <v>0</v>
      </c>
      <c r="M287" s="7">
        <f t="shared" si="38"/>
        <v>24.2</v>
      </c>
      <c r="N287" s="7">
        <f t="shared" si="38"/>
        <v>21.9</v>
      </c>
      <c r="O287" s="7">
        <f t="shared" si="38"/>
        <v>15.75</v>
      </c>
      <c r="P287" s="7">
        <f t="shared" si="38"/>
        <v>0.51</v>
      </c>
      <c r="Q287" s="7"/>
      <c r="R287" s="7">
        <f>SUM(R285:R286)</f>
        <v>5.85</v>
      </c>
    </row>
    <row r="288" spans="1:18" ht="21">
      <c r="A288" s="36"/>
      <c r="B288" s="130" t="s">
        <v>123</v>
      </c>
      <c r="C288" s="133"/>
      <c r="D288" s="133"/>
      <c r="E288" s="133"/>
      <c r="F288" s="133"/>
      <c r="G288" s="133"/>
      <c r="H288" s="133"/>
      <c r="I288" s="133"/>
      <c r="J288" s="133"/>
      <c r="K288" s="133"/>
      <c r="L288" s="133"/>
      <c r="M288" s="133"/>
      <c r="N288" s="133"/>
      <c r="O288" s="133"/>
      <c r="P288" s="133"/>
      <c r="Q288" s="133"/>
      <c r="R288" s="134"/>
    </row>
    <row r="289" spans="1:18" ht="22.5" customHeight="1">
      <c r="A289" s="36"/>
      <c r="B289" s="31" t="s">
        <v>68</v>
      </c>
      <c r="C289" s="7">
        <v>147</v>
      </c>
      <c r="D289" s="7">
        <v>0</v>
      </c>
      <c r="E289" s="7">
        <v>150</v>
      </c>
      <c r="F289" s="7">
        <f>E289*0.08%</f>
        <v>0.12000000000000001</v>
      </c>
      <c r="G289" s="7">
        <v>0</v>
      </c>
      <c r="H289" s="7">
        <f>E289*9.6%</f>
        <v>14.4</v>
      </c>
      <c r="I289" s="7">
        <f>E289*43%</f>
        <v>64.5</v>
      </c>
      <c r="J289" s="7">
        <f>E289*0.06%</f>
        <v>0.09</v>
      </c>
      <c r="K289" s="7">
        <f>E289*10%</f>
        <v>15</v>
      </c>
      <c r="L289" s="7">
        <v>0</v>
      </c>
      <c r="M289" s="7">
        <f>E289*20%</f>
        <v>30</v>
      </c>
      <c r="N289" s="7">
        <f>E289*20%</f>
        <v>30</v>
      </c>
      <c r="O289" s="7">
        <f>E289*9%</f>
        <v>13.5</v>
      </c>
      <c r="P289" s="7">
        <f>E289*0.5%</f>
        <v>0.75</v>
      </c>
      <c r="Q289" s="7">
        <v>63</v>
      </c>
      <c r="R289" s="7">
        <f>C289/1000*63</f>
        <v>9.2609999999999992</v>
      </c>
    </row>
    <row r="290" spans="1:18" ht="21">
      <c r="A290" s="36"/>
      <c r="B290" s="121" t="s">
        <v>94</v>
      </c>
      <c r="C290" s="122"/>
      <c r="D290" s="122"/>
      <c r="E290" s="122"/>
      <c r="F290" s="122"/>
      <c r="G290" s="122"/>
      <c r="H290" s="122"/>
      <c r="I290" s="122"/>
      <c r="J290" s="122"/>
      <c r="K290" s="122"/>
      <c r="L290" s="122"/>
      <c r="M290" s="122"/>
      <c r="N290" s="122"/>
      <c r="O290" s="122"/>
      <c r="P290" s="122"/>
      <c r="Q290" s="122"/>
      <c r="R290" s="123"/>
    </row>
    <row r="291" spans="1:18" ht="18">
      <c r="A291" s="36"/>
      <c r="B291" s="31" t="s">
        <v>68</v>
      </c>
      <c r="C291" s="27">
        <v>3</v>
      </c>
      <c r="D291" s="7">
        <v>0</v>
      </c>
      <c r="E291" s="27">
        <f>C291-D291</f>
        <v>3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20</v>
      </c>
      <c r="R291" s="27">
        <f>C291/1000*20</f>
        <v>0.06</v>
      </c>
    </row>
    <row r="292" spans="1:18" ht="18">
      <c r="A292" s="36"/>
      <c r="B292" s="31"/>
      <c r="C292" s="27"/>
      <c r="D292" s="7"/>
      <c r="E292" s="2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27"/>
    </row>
    <row r="293" spans="1:18" ht="23.4">
      <c r="A293" s="36"/>
      <c r="B293" s="47" t="s">
        <v>68</v>
      </c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25">
        <f>R291+R289+R287+R283+R281+R278</f>
        <v>60.991</v>
      </c>
    </row>
    <row r="295" spans="1:18" s="273" customFormat="1" ht="70.5" customHeight="1">
      <c r="A295" s="273" t="s">
        <v>140</v>
      </c>
    </row>
    <row r="296" spans="1:18" ht="33" customHeight="1">
      <c r="A296" s="49"/>
      <c r="B296" s="135" t="s">
        <v>0</v>
      </c>
      <c r="C296" s="46" t="s">
        <v>81</v>
      </c>
      <c r="D296" s="139" t="s">
        <v>19</v>
      </c>
      <c r="E296" s="139" t="s">
        <v>18</v>
      </c>
      <c r="F296" s="142" t="s">
        <v>1</v>
      </c>
      <c r="G296" s="142" t="s">
        <v>2</v>
      </c>
      <c r="H296" s="142" t="s">
        <v>3</v>
      </c>
      <c r="I296" s="142" t="s">
        <v>4</v>
      </c>
      <c r="J296" s="145" t="s">
        <v>5</v>
      </c>
      <c r="K296" s="145"/>
      <c r="L296" s="145"/>
      <c r="M296" s="145" t="s">
        <v>6</v>
      </c>
      <c r="N296" s="145"/>
      <c r="O296" s="145"/>
      <c r="P296" s="145"/>
      <c r="Q296" s="146" t="s">
        <v>65</v>
      </c>
      <c r="R296" s="246" t="s">
        <v>102</v>
      </c>
    </row>
    <row r="297" spans="1:18" ht="24" customHeight="1">
      <c r="A297" s="49"/>
      <c r="B297" s="135"/>
      <c r="C297" s="137" t="s">
        <v>17</v>
      </c>
      <c r="D297" s="140"/>
      <c r="E297" s="140"/>
      <c r="F297" s="143"/>
      <c r="G297" s="143"/>
      <c r="H297" s="143"/>
      <c r="I297" s="143"/>
      <c r="J297" s="142" t="s">
        <v>7</v>
      </c>
      <c r="K297" s="152" t="s">
        <v>8</v>
      </c>
      <c r="L297" s="142" t="s">
        <v>9</v>
      </c>
      <c r="M297" s="142" t="s">
        <v>10</v>
      </c>
      <c r="N297" s="142" t="s">
        <v>11</v>
      </c>
      <c r="O297" s="142" t="s">
        <v>12</v>
      </c>
      <c r="P297" s="142" t="s">
        <v>13</v>
      </c>
      <c r="Q297" s="143"/>
      <c r="R297" s="247"/>
    </row>
    <row r="298" spans="1:18" ht="24" customHeight="1">
      <c r="A298" s="49"/>
      <c r="B298" s="2"/>
      <c r="C298" s="230"/>
      <c r="D298" s="141"/>
      <c r="E298" s="141"/>
      <c r="F298" s="144"/>
      <c r="G298" s="144"/>
      <c r="H298" s="144"/>
      <c r="I298" s="144"/>
      <c r="J298" s="144"/>
      <c r="K298" s="153"/>
      <c r="L298" s="144"/>
      <c r="M298" s="144"/>
      <c r="N298" s="144"/>
      <c r="O298" s="144"/>
      <c r="P298" s="144"/>
      <c r="Q298" s="144"/>
      <c r="R298" s="248"/>
    </row>
    <row r="299" spans="1:18" s="84" customFormat="1" ht="19.5" customHeight="1">
      <c r="A299" s="243" t="s">
        <v>83</v>
      </c>
      <c r="B299" s="244"/>
      <c r="C299" s="244"/>
      <c r="D299" s="244"/>
      <c r="E299" s="244"/>
      <c r="F299" s="244"/>
      <c r="G299" s="244"/>
      <c r="H299" s="244"/>
      <c r="I299" s="244"/>
      <c r="J299" s="244"/>
      <c r="K299" s="244"/>
      <c r="L299" s="244"/>
      <c r="M299" s="244"/>
      <c r="N299" s="244"/>
      <c r="O299" s="244"/>
      <c r="P299" s="244"/>
      <c r="Q299" s="244"/>
      <c r="R299" s="245"/>
    </row>
    <row r="300" spans="1:18" s="104" customFormat="1" ht="22.5" customHeight="1">
      <c r="A300" s="107"/>
      <c r="B300" s="108" t="s">
        <v>14</v>
      </c>
      <c r="C300" s="93">
        <v>15</v>
      </c>
      <c r="D300" s="93">
        <f>C300*0.2</f>
        <v>3</v>
      </c>
      <c r="E300" s="93">
        <f>C300-D300</f>
        <v>12</v>
      </c>
      <c r="F300" s="93">
        <f>E300*1.3%</f>
        <v>0.15600000000000003</v>
      </c>
      <c r="G300" s="93">
        <f>E300*0.001</f>
        <v>1.2E-2</v>
      </c>
      <c r="H300" s="93">
        <f>E300*0.072</f>
        <v>0.86399999999999988</v>
      </c>
      <c r="I300" s="93">
        <f>E300*0.3</f>
        <v>3.5999999999999996</v>
      </c>
      <c r="J300" s="93">
        <f>E300*0.06%</f>
        <v>7.1999999999999998E-3</v>
      </c>
      <c r="K300" s="93">
        <f>E300*5%</f>
        <v>0.60000000000000009</v>
      </c>
      <c r="L300" s="93">
        <v>0</v>
      </c>
      <c r="M300" s="93">
        <f>E300*51%</f>
        <v>6.12</v>
      </c>
      <c r="N300" s="93">
        <f>E300*55%</f>
        <v>6.6000000000000005</v>
      </c>
      <c r="O300" s="93">
        <f>E300*38%</f>
        <v>4.5600000000000005</v>
      </c>
      <c r="P300" s="93">
        <f>E300*0.7%</f>
        <v>8.3999999999999991E-2</v>
      </c>
      <c r="Q300" s="93">
        <v>60</v>
      </c>
      <c r="R300" s="93">
        <f>C300/1000*60</f>
        <v>0.89999999999999991</v>
      </c>
    </row>
    <row r="301" spans="1:18" s="106" customFormat="1" ht="19.5" customHeight="1">
      <c r="A301" s="109"/>
      <c r="B301" s="110" t="s">
        <v>74</v>
      </c>
      <c r="C301" s="105">
        <v>10</v>
      </c>
      <c r="D301" s="105">
        <v>0</v>
      </c>
      <c r="E301" s="105">
        <f>C301-D301</f>
        <v>10</v>
      </c>
      <c r="F301" s="105">
        <v>0</v>
      </c>
      <c r="G301" s="105">
        <f>E301*0.999</f>
        <v>9.99</v>
      </c>
      <c r="H301" s="105">
        <v>0</v>
      </c>
      <c r="I301" s="105">
        <f>E301*8.99</f>
        <v>89.9</v>
      </c>
      <c r="J301" s="105">
        <f>E301*0.06%</f>
        <v>5.9999999999999993E-3</v>
      </c>
      <c r="K301" s="105">
        <v>0</v>
      </c>
      <c r="L301" s="105">
        <v>0</v>
      </c>
      <c r="M301" s="105">
        <v>0</v>
      </c>
      <c r="N301" s="105">
        <v>0</v>
      </c>
      <c r="O301" s="105">
        <v>0</v>
      </c>
      <c r="P301" s="105">
        <v>0</v>
      </c>
      <c r="Q301" s="105">
        <v>180</v>
      </c>
      <c r="R301" s="105">
        <f>C301/1000*180</f>
        <v>1.8</v>
      </c>
    </row>
    <row r="302" spans="1:18" s="104" customFormat="1" ht="22.5" customHeight="1">
      <c r="A302" s="109"/>
      <c r="B302" s="108" t="s">
        <v>15</v>
      </c>
      <c r="C302" s="93">
        <v>30</v>
      </c>
      <c r="D302" s="93">
        <f>C302*0.2</f>
        <v>6</v>
      </c>
      <c r="E302" s="93">
        <f>C302-D302</f>
        <v>24</v>
      </c>
      <c r="F302" s="93">
        <f>E302*0.018</f>
        <v>0.43199999999999994</v>
      </c>
      <c r="G302" s="93">
        <f>E302*0.001</f>
        <v>2.4E-2</v>
      </c>
      <c r="H302" s="93">
        <f>E302*0.047</f>
        <v>1.1280000000000001</v>
      </c>
      <c r="I302" s="93">
        <f>E302*0.27</f>
        <v>6.48</v>
      </c>
      <c r="J302" s="93">
        <f>E302*0.03%</f>
        <v>7.1999999999999998E-3</v>
      </c>
      <c r="K302" s="93">
        <f>E302*45%</f>
        <v>10.8</v>
      </c>
      <c r="L302" s="93">
        <v>0</v>
      </c>
      <c r="M302" s="93">
        <f>E302*48%</f>
        <v>11.52</v>
      </c>
      <c r="N302" s="93">
        <f>E302*31%</f>
        <v>7.4399999999999995</v>
      </c>
      <c r="O302" s="93">
        <f>E302*16%</f>
        <v>3.84</v>
      </c>
      <c r="P302" s="93">
        <f>E302*0.6%</f>
        <v>0.14400000000000002</v>
      </c>
      <c r="Q302" s="93">
        <v>50</v>
      </c>
      <c r="R302" s="93">
        <f>C302/1000*50</f>
        <v>1.5</v>
      </c>
    </row>
    <row r="303" spans="1:18" s="104" customFormat="1" ht="22.5" customHeight="1">
      <c r="A303" s="109"/>
      <c r="B303" s="108" t="s">
        <v>16</v>
      </c>
      <c r="C303" s="93">
        <v>5</v>
      </c>
      <c r="D303" s="93">
        <v>0</v>
      </c>
      <c r="E303" s="93">
        <f>C303-D303</f>
        <v>5</v>
      </c>
      <c r="F303" s="93">
        <v>0</v>
      </c>
      <c r="G303" s="93">
        <f>E303*0.999</f>
        <v>4.9950000000000001</v>
      </c>
      <c r="H303" s="93">
        <v>0</v>
      </c>
      <c r="I303" s="93">
        <f>E303*8.99%</f>
        <v>0.44950000000000001</v>
      </c>
      <c r="J303" s="93">
        <f>E303*0.06%</f>
        <v>2.9999999999999996E-3</v>
      </c>
      <c r="K303" s="93">
        <v>0</v>
      </c>
      <c r="L303" s="93">
        <v>0</v>
      </c>
      <c r="M303" s="93">
        <v>0</v>
      </c>
      <c r="N303" s="93">
        <v>0</v>
      </c>
      <c r="O303" s="93">
        <v>0</v>
      </c>
      <c r="P303" s="93">
        <v>0</v>
      </c>
      <c r="Q303" s="93">
        <v>150</v>
      </c>
      <c r="R303" s="93">
        <f>C303/1000*150</f>
        <v>0.75</v>
      </c>
    </row>
    <row r="304" spans="1:18" s="114" customFormat="1" ht="22.5" customHeight="1">
      <c r="A304" s="111"/>
      <c r="B304" s="112" t="s">
        <v>68</v>
      </c>
      <c r="C304" s="113">
        <f>SUM(C300:C303)</f>
        <v>60</v>
      </c>
      <c r="D304" s="113">
        <f t="shared" ref="D304:P304" si="39">SUM(D300:D303)</f>
        <v>9</v>
      </c>
      <c r="E304" s="113">
        <f t="shared" si="39"/>
        <v>51</v>
      </c>
      <c r="F304" s="113">
        <f t="shared" si="39"/>
        <v>0.58799999999999997</v>
      </c>
      <c r="G304" s="113">
        <f t="shared" si="39"/>
        <v>15.021000000000001</v>
      </c>
      <c r="H304" s="113">
        <f t="shared" si="39"/>
        <v>1.992</v>
      </c>
      <c r="I304" s="113">
        <f t="shared" si="39"/>
        <v>100.4295</v>
      </c>
      <c r="J304" s="113">
        <f t="shared" si="39"/>
        <v>2.3400000000000001E-2</v>
      </c>
      <c r="K304" s="113">
        <f t="shared" si="39"/>
        <v>11.4</v>
      </c>
      <c r="L304" s="113">
        <f t="shared" si="39"/>
        <v>0</v>
      </c>
      <c r="M304" s="113">
        <f t="shared" si="39"/>
        <v>17.64</v>
      </c>
      <c r="N304" s="113">
        <f t="shared" si="39"/>
        <v>14.04</v>
      </c>
      <c r="O304" s="113">
        <f t="shared" si="39"/>
        <v>8.4</v>
      </c>
      <c r="P304" s="113">
        <f t="shared" si="39"/>
        <v>0.22800000000000001</v>
      </c>
      <c r="Q304" s="113"/>
      <c r="R304" s="113">
        <f>SUM(R300:R303)</f>
        <v>4.95</v>
      </c>
    </row>
    <row r="305" spans="1:18" s="84" customFormat="1" ht="21">
      <c r="A305" s="87"/>
      <c r="B305" s="154" t="s">
        <v>106</v>
      </c>
      <c r="C305" s="241"/>
      <c r="D305" s="241"/>
      <c r="E305" s="241"/>
      <c r="F305" s="241"/>
      <c r="G305" s="241"/>
      <c r="H305" s="241"/>
      <c r="I305" s="241"/>
      <c r="J305" s="241"/>
      <c r="K305" s="241"/>
      <c r="L305" s="241"/>
      <c r="M305" s="241"/>
      <c r="N305" s="241"/>
      <c r="O305" s="241"/>
      <c r="P305" s="241"/>
      <c r="Q305" s="241"/>
      <c r="R305" s="242"/>
    </row>
    <row r="306" spans="1:18" s="90" customFormat="1" ht="22.5" customHeight="1">
      <c r="A306" s="88"/>
      <c r="B306" s="89" t="s">
        <v>109</v>
      </c>
      <c r="C306" s="62">
        <v>60</v>
      </c>
      <c r="D306" s="62">
        <f>C306*26.4%</f>
        <v>15.84</v>
      </c>
      <c r="E306" s="62">
        <f>SUM(C306-D306)</f>
        <v>44.16</v>
      </c>
      <c r="F306" s="62">
        <f>E306*18.6%</f>
        <v>8.2137600000000006</v>
      </c>
      <c r="G306" s="62">
        <f>E306*16%</f>
        <v>7.0655999999999999</v>
      </c>
      <c r="H306" s="62">
        <v>0</v>
      </c>
      <c r="I306" s="62">
        <f>E306*218%</f>
        <v>96.268799999999999</v>
      </c>
      <c r="J306" s="62">
        <f>E306*0.06%</f>
        <v>2.6495999999999995E-2</v>
      </c>
      <c r="K306" s="62">
        <v>0</v>
      </c>
      <c r="L306" s="62">
        <v>0</v>
      </c>
      <c r="M306" s="62">
        <f>E306*9%</f>
        <v>3.9743999999999997</v>
      </c>
      <c r="N306" s="62">
        <f>E306*188%</f>
        <v>83.020799999999994</v>
      </c>
      <c r="O306" s="62">
        <f>E306*22%</f>
        <v>9.7151999999999994</v>
      </c>
      <c r="P306" s="62">
        <f>E306*2.7%</f>
        <v>1.19232</v>
      </c>
      <c r="Q306" s="62">
        <v>475</v>
      </c>
      <c r="R306" s="62">
        <f>C306/1000*475</f>
        <v>28.5</v>
      </c>
    </row>
    <row r="307" spans="1:18" s="94" customFormat="1" ht="22.5" customHeight="1">
      <c r="A307" s="91"/>
      <c r="B307" s="92" t="s">
        <v>70</v>
      </c>
      <c r="C307" s="93">
        <v>42</v>
      </c>
      <c r="D307" s="93">
        <f>C307*0.25</f>
        <v>10.5</v>
      </c>
      <c r="E307" s="93">
        <f>C307-D307</f>
        <v>31.5</v>
      </c>
      <c r="F307" s="93">
        <f>E307*2%</f>
        <v>0.63</v>
      </c>
      <c r="G307" s="93">
        <f>E307*0.4%</f>
        <v>0.126</v>
      </c>
      <c r="H307" s="93">
        <f>E307*16.3%</f>
        <v>5.1345000000000001</v>
      </c>
      <c r="I307" s="93">
        <f>E307*80%</f>
        <v>25.200000000000003</v>
      </c>
      <c r="J307" s="93">
        <f>E307*0.12%</f>
        <v>3.7799999999999993E-2</v>
      </c>
      <c r="K307" s="93">
        <f>E307*20%</f>
        <v>6.3000000000000007</v>
      </c>
      <c r="L307" s="93">
        <v>0</v>
      </c>
      <c r="M307" s="93">
        <f>E307*10%</f>
        <v>3.1500000000000004</v>
      </c>
      <c r="N307" s="93">
        <f>E307*58%</f>
        <v>18.27</v>
      </c>
      <c r="O307" s="93">
        <f>E307*23%</f>
        <v>7.2450000000000001</v>
      </c>
      <c r="P307" s="93">
        <f>E307*0.9%</f>
        <v>0.28350000000000003</v>
      </c>
      <c r="Q307" s="93">
        <v>57</v>
      </c>
      <c r="R307" s="93">
        <f>C307/1000*57</f>
        <v>2.3940000000000001</v>
      </c>
    </row>
    <row r="308" spans="1:18" s="94" customFormat="1" ht="18">
      <c r="A308" s="91"/>
      <c r="B308" s="92" t="s">
        <v>14</v>
      </c>
      <c r="C308" s="93">
        <v>14</v>
      </c>
      <c r="D308" s="93">
        <f>C308*0.2</f>
        <v>2.8000000000000003</v>
      </c>
      <c r="E308" s="93">
        <f>C308-D308</f>
        <v>11.2</v>
      </c>
      <c r="F308" s="93">
        <f>E308*1.3%</f>
        <v>0.14560000000000001</v>
      </c>
      <c r="G308" s="95">
        <f>E308*0.001</f>
        <v>1.12E-2</v>
      </c>
      <c r="H308" s="93">
        <f>E308*0.072</f>
        <v>0.80639999999999989</v>
      </c>
      <c r="I308" s="93">
        <f>E308*0.3</f>
        <v>3.36</v>
      </c>
      <c r="J308" s="93">
        <f>E308*0.06%</f>
        <v>6.7199999999999994E-3</v>
      </c>
      <c r="K308" s="93">
        <f>E308*5%</f>
        <v>0.55999999999999994</v>
      </c>
      <c r="L308" s="93">
        <v>0</v>
      </c>
      <c r="M308" s="93">
        <f>E308*51%</f>
        <v>5.7119999999999997</v>
      </c>
      <c r="N308" s="93">
        <f>E308*55%</f>
        <v>6.16</v>
      </c>
      <c r="O308" s="93">
        <f>E308*38%</f>
        <v>4.2559999999999993</v>
      </c>
      <c r="P308" s="93">
        <f>E308*0.7%</f>
        <v>7.8399999999999984E-2</v>
      </c>
      <c r="Q308" s="93">
        <v>60</v>
      </c>
      <c r="R308" s="92">
        <f>C308/1000*60</f>
        <v>0.84</v>
      </c>
    </row>
    <row r="309" spans="1:18" s="94" customFormat="1" ht="18">
      <c r="A309" s="91"/>
      <c r="B309" s="92" t="s">
        <v>71</v>
      </c>
      <c r="C309" s="93">
        <v>17</v>
      </c>
      <c r="D309" s="93">
        <f>C309*0.16</f>
        <v>2.72</v>
      </c>
      <c r="E309" s="93">
        <f>C309-D309</f>
        <v>14.28</v>
      </c>
      <c r="F309" s="93">
        <f>E309*1.4%</f>
        <v>0.19991999999999996</v>
      </c>
      <c r="G309" s="94">
        <v>0</v>
      </c>
      <c r="H309" s="93">
        <f>E309*9.1%</f>
        <v>1.29948</v>
      </c>
      <c r="I309" s="93">
        <f>E309*41%</f>
        <v>5.8547999999999991</v>
      </c>
      <c r="J309" s="93">
        <f>E309*0.05%</f>
        <v>7.1399999999999996E-3</v>
      </c>
      <c r="K309" s="93">
        <f>E309*10%</f>
        <v>1.4279999999999999</v>
      </c>
      <c r="L309" s="93">
        <v>0</v>
      </c>
      <c r="M309" s="93">
        <f>E309*31%</f>
        <v>4.4268000000000001</v>
      </c>
      <c r="N309" s="93">
        <f>E309*58%</f>
        <v>8.2823999999999991</v>
      </c>
      <c r="O309" s="93">
        <f>E309*14%</f>
        <v>1.9992000000000001</v>
      </c>
      <c r="P309" s="93">
        <f>E309*0.8%</f>
        <v>0.11423999999999999</v>
      </c>
      <c r="Q309" s="93">
        <v>40</v>
      </c>
      <c r="R309" s="93">
        <f>C309/1000*40</f>
        <v>0.68</v>
      </c>
    </row>
    <row r="310" spans="1:18" s="94" customFormat="1" ht="18">
      <c r="A310" s="88"/>
      <c r="B310" s="92" t="s">
        <v>21</v>
      </c>
      <c r="C310" s="93">
        <v>10</v>
      </c>
      <c r="D310" s="93">
        <v>0</v>
      </c>
      <c r="E310" s="93">
        <f>C310-D310</f>
        <v>10</v>
      </c>
      <c r="F310" s="93">
        <f>E310*0.5%</f>
        <v>0.05</v>
      </c>
      <c r="G310" s="93">
        <f>E310*82.5%</f>
        <v>8.25</v>
      </c>
      <c r="H310" s="93">
        <f>E310*0.8%</f>
        <v>0.08</v>
      </c>
      <c r="I310" s="93">
        <f>E310*748%</f>
        <v>74.800000000000011</v>
      </c>
      <c r="J310" s="93">
        <v>0</v>
      </c>
      <c r="K310" s="93">
        <v>0</v>
      </c>
      <c r="L310" s="93">
        <f>E310*0.59%</f>
        <v>5.8999999999999997E-2</v>
      </c>
      <c r="M310" s="93">
        <f>E310*12%</f>
        <v>1.2</v>
      </c>
      <c r="N310" s="93">
        <f>E310*19%</f>
        <v>1.9</v>
      </c>
      <c r="O310" s="93">
        <f>E310*0.4%</f>
        <v>0.04</v>
      </c>
      <c r="P310" s="93">
        <f>E310*0.2%</f>
        <v>0.02</v>
      </c>
      <c r="Q310" s="93">
        <v>480</v>
      </c>
      <c r="R310" s="96">
        <f>C310/1000*480</f>
        <v>4.8</v>
      </c>
    </row>
    <row r="311" spans="1:18" s="94" customFormat="1">
      <c r="A311" s="97"/>
      <c r="B311" s="93" t="s">
        <v>25</v>
      </c>
      <c r="C311" s="93">
        <v>3</v>
      </c>
      <c r="D311" s="93">
        <v>0</v>
      </c>
      <c r="E311" s="93">
        <f>SUM(C311:D311)</f>
        <v>3</v>
      </c>
      <c r="F311" s="93">
        <f>E311*1%</f>
        <v>0.03</v>
      </c>
      <c r="G311" s="93">
        <v>0</v>
      </c>
      <c r="H311" s="93">
        <f>E311*3.5%</f>
        <v>0.10500000000000001</v>
      </c>
      <c r="I311" s="93">
        <f>E311*19%</f>
        <v>0.57000000000000006</v>
      </c>
      <c r="J311" s="93">
        <f>E311*0.03%</f>
        <v>8.9999999999999998E-4</v>
      </c>
      <c r="K311" s="93">
        <f>E311*10%</f>
        <v>0.30000000000000004</v>
      </c>
      <c r="L311" s="93">
        <v>0</v>
      </c>
      <c r="M311" s="93">
        <f>C311*7%</f>
        <v>0.21000000000000002</v>
      </c>
      <c r="N311" s="93">
        <f>E311*32%</f>
        <v>0.96</v>
      </c>
      <c r="O311" s="93">
        <f>E311*12%</f>
        <v>0.36</v>
      </c>
      <c r="P311" s="93">
        <f>E311*0.7%</f>
        <v>2.0999999999999998E-2</v>
      </c>
      <c r="Q311" s="93">
        <v>150</v>
      </c>
      <c r="R311" s="93">
        <f>C311/1000*150</f>
        <v>0.45</v>
      </c>
    </row>
    <row r="312" spans="1:18" s="94" customFormat="1" ht="18">
      <c r="A312" s="91"/>
      <c r="B312" s="92" t="s">
        <v>75</v>
      </c>
      <c r="C312" s="93">
        <v>40</v>
      </c>
      <c r="D312" s="93">
        <v>0</v>
      </c>
      <c r="E312" s="93">
        <f>C312-D312</f>
        <v>40</v>
      </c>
      <c r="F312" s="93">
        <f>E312*23%</f>
        <v>9.2000000000000011</v>
      </c>
      <c r="G312" s="93">
        <f>E312*1.6%</f>
        <v>0.64</v>
      </c>
      <c r="H312" s="93">
        <f>E312*50.8%</f>
        <v>20.32</v>
      </c>
      <c r="I312" s="93">
        <f>E312*314%</f>
        <v>125.60000000000001</v>
      </c>
      <c r="J312" s="93">
        <f>E312*0.9%</f>
        <v>0.36000000000000004</v>
      </c>
      <c r="K312" s="93">
        <v>0</v>
      </c>
      <c r="L312" s="93">
        <v>0</v>
      </c>
      <c r="M312" s="93">
        <f>E312*89%</f>
        <v>35.6</v>
      </c>
      <c r="N312" s="93">
        <f>E312*226%</f>
        <v>90.399999999999991</v>
      </c>
      <c r="O312" s="93">
        <f>E312*88%</f>
        <v>35.200000000000003</v>
      </c>
      <c r="P312" s="93">
        <f>E312*7%</f>
        <v>2.8000000000000003</v>
      </c>
      <c r="Q312" s="93">
        <v>60</v>
      </c>
      <c r="R312" s="96">
        <f>C312/1000*60</f>
        <v>2.4</v>
      </c>
    </row>
    <row r="313" spans="1:18" s="71" customFormat="1" ht="18">
      <c r="A313" s="72"/>
      <c r="B313" s="73" t="s">
        <v>68</v>
      </c>
      <c r="C313" s="74">
        <f>C312+C310+C309+C308+C307</f>
        <v>123</v>
      </c>
      <c r="D313" s="74">
        <f t="shared" ref="D313:P313" si="40">SUM(D307:D312)</f>
        <v>16.02</v>
      </c>
      <c r="E313" s="74">
        <v>250</v>
      </c>
      <c r="F313" s="74">
        <f t="shared" si="40"/>
        <v>10.255520000000001</v>
      </c>
      <c r="G313" s="74">
        <f t="shared" si="40"/>
        <v>9.0272000000000006</v>
      </c>
      <c r="H313" s="74">
        <f t="shared" si="40"/>
        <v>27.745380000000001</v>
      </c>
      <c r="I313" s="74">
        <f t="shared" si="40"/>
        <v>235.38480000000001</v>
      </c>
      <c r="J313" s="74">
        <f t="shared" si="40"/>
        <v>0.41256000000000004</v>
      </c>
      <c r="K313" s="74">
        <f t="shared" si="40"/>
        <v>8.588000000000001</v>
      </c>
      <c r="L313" s="74">
        <f t="shared" si="40"/>
        <v>5.8999999999999997E-2</v>
      </c>
      <c r="M313" s="74">
        <f t="shared" si="40"/>
        <v>50.2988</v>
      </c>
      <c r="N313" s="74">
        <f t="shared" si="40"/>
        <v>125.97239999999999</v>
      </c>
      <c r="O313" s="74">
        <f t="shared" si="40"/>
        <v>49.100200000000001</v>
      </c>
      <c r="P313" s="74">
        <f t="shared" si="40"/>
        <v>3.3171400000000002</v>
      </c>
      <c r="Q313" s="74"/>
      <c r="R313" s="74">
        <f>SUM(R306:R312)</f>
        <v>40.064</v>
      </c>
    </row>
    <row r="314" spans="1:18" s="85" customFormat="1" ht="21">
      <c r="A314" s="33"/>
      <c r="B314" s="249" t="s">
        <v>92</v>
      </c>
      <c r="C314" s="250"/>
      <c r="D314" s="250"/>
      <c r="E314" s="250"/>
      <c r="F314" s="250"/>
      <c r="G314" s="250"/>
      <c r="H314" s="250"/>
      <c r="I314" s="250"/>
      <c r="J314" s="250"/>
      <c r="K314" s="250"/>
      <c r="L314" s="250"/>
      <c r="M314" s="250"/>
      <c r="N314" s="250"/>
      <c r="O314" s="250"/>
      <c r="P314" s="250"/>
      <c r="Q314" s="250"/>
      <c r="R314" s="251"/>
    </row>
    <row r="315" spans="1:18" s="85" customFormat="1" ht="18">
      <c r="A315" s="33"/>
      <c r="B315" s="31" t="s">
        <v>68</v>
      </c>
      <c r="C315" s="7">
        <v>50</v>
      </c>
      <c r="D315" s="7">
        <v>0</v>
      </c>
      <c r="E315" s="7">
        <f>C315-D315</f>
        <v>50</v>
      </c>
      <c r="F315" s="7">
        <f>E315*7.9%</f>
        <v>3.95</v>
      </c>
      <c r="G315" s="7">
        <f>E315*1%</f>
        <v>0.5</v>
      </c>
      <c r="H315" s="7">
        <f>E315*48.1%</f>
        <v>24.05</v>
      </c>
      <c r="I315" s="7">
        <f>E315*239%</f>
        <v>119.5</v>
      </c>
      <c r="J315" s="7">
        <f>E315*0.16%</f>
        <v>0.08</v>
      </c>
      <c r="K315" s="7">
        <v>0</v>
      </c>
      <c r="L315" s="7">
        <v>0</v>
      </c>
      <c r="M315" s="7">
        <f>E315*23%</f>
        <v>11.5</v>
      </c>
      <c r="N315" s="7">
        <f>E315*87%</f>
        <v>43.5</v>
      </c>
      <c r="O315" s="7">
        <f>E315*33%</f>
        <v>16.5</v>
      </c>
      <c r="P315" s="7">
        <f>E315*2%</f>
        <v>1</v>
      </c>
      <c r="Q315" s="7">
        <v>50</v>
      </c>
      <c r="R315" s="83">
        <f>C315/1000*50</f>
        <v>2.5</v>
      </c>
    </row>
    <row r="316" spans="1:18" s="84" customFormat="1" ht="21">
      <c r="A316" s="87"/>
      <c r="B316" s="130" t="s">
        <v>97</v>
      </c>
      <c r="C316" s="252"/>
      <c r="D316" s="252"/>
      <c r="E316" s="252"/>
      <c r="F316" s="252"/>
      <c r="G316" s="252"/>
      <c r="H316" s="252"/>
      <c r="I316" s="252"/>
      <c r="J316" s="252"/>
      <c r="K316" s="252"/>
      <c r="L316" s="252"/>
      <c r="M316" s="252"/>
      <c r="N316" s="252"/>
      <c r="O316" s="252"/>
      <c r="P316" s="252"/>
      <c r="Q316" s="252"/>
      <c r="R316" s="253"/>
    </row>
    <row r="317" spans="1:18" s="85" customFormat="1" ht="18">
      <c r="A317" s="33"/>
      <c r="B317" s="86" t="s">
        <v>66</v>
      </c>
      <c r="C317" s="86">
        <v>15</v>
      </c>
      <c r="D317" s="86">
        <v>0</v>
      </c>
      <c r="E317" s="86">
        <v>15</v>
      </c>
      <c r="F317" s="86">
        <f>E317*5.2%</f>
        <v>0.78</v>
      </c>
      <c r="G317" s="86">
        <v>0</v>
      </c>
      <c r="H317" s="86">
        <f>E317*55%</f>
        <v>8.25</v>
      </c>
      <c r="I317" s="86">
        <f>E317*234%</f>
        <v>35.099999999999994</v>
      </c>
      <c r="J317" s="86">
        <f>E317*0.1%</f>
        <v>1.4999999999999999E-2</v>
      </c>
      <c r="K317" s="86">
        <f>E317*4%</f>
        <v>0.6</v>
      </c>
      <c r="L317" s="86">
        <v>0</v>
      </c>
      <c r="M317" s="86">
        <f>E317*160%</f>
        <v>24</v>
      </c>
      <c r="N317" s="86">
        <f>E317*146%</f>
        <v>21.9</v>
      </c>
      <c r="O317" s="86">
        <f>E317*105%</f>
        <v>15.75</v>
      </c>
      <c r="P317" s="86">
        <f>E317*3.2%</f>
        <v>0.48</v>
      </c>
      <c r="Q317" s="86">
        <v>350</v>
      </c>
      <c r="R317" s="86">
        <f>C317/1000*350</f>
        <v>5.25</v>
      </c>
    </row>
    <row r="318" spans="1:18" s="85" customFormat="1" ht="18">
      <c r="A318" s="33"/>
      <c r="B318" s="86" t="s">
        <v>67</v>
      </c>
      <c r="C318" s="86">
        <v>10</v>
      </c>
      <c r="D318" s="86">
        <v>0</v>
      </c>
      <c r="E318" s="86">
        <v>10</v>
      </c>
      <c r="F318" s="86">
        <v>0</v>
      </c>
      <c r="G318" s="86">
        <v>0</v>
      </c>
      <c r="H318" s="86">
        <f>E318*99.8%</f>
        <v>9.98</v>
      </c>
      <c r="I318" s="86">
        <f>E318*379%</f>
        <v>37.9</v>
      </c>
      <c r="J318" s="86">
        <v>0</v>
      </c>
      <c r="K318" s="86">
        <v>0</v>
      </c>
      <c r="L318" s="86">
        <v>0</v>
      </c>
      <c r="M318" s="86">
        <f>E318*2%</f>
        <v>0.2</v>
      </c>
      <c r="N318" s="86">
        <v>0</v>
      </c>
      <c r="O318" s="86">
        <v>0</v>
      </c>
      <c r="P318" s="86">
        <f>E318*0.3%</f>
        <v>0.03</v>
      </c>
      <c r="Q318" s="86">
        <v>60</v>
      </c>
      <c r="R318" s="29">
        <f>C318/1000*60</f>
        <v>0.6</v>
      </c>
    </row>
    <row r="319" spans="1:18" s="85" customFormat="1" ht="18">
      <c r="A319" s="33"/>
      <c r="B319" s="31" t="s">
        <v>68</v>
      </c>
      <c r="C319" s="7">
        <f>SUM(C317:C318)</f>
        <v>25</v>
      </c>
      <c r="D319" s="7">
        <f t="shared" ref="D319:P319" si="41">SUM(D317:D318)</f>
        <v>0</v>
      </c>
      <c r="E319" s="7">
        <v>150</v>
      </c>
      <c r="F319" s="7">
        <f t="shared" si="41"/>
        <v>0.78</v>
      </c>
      <c r="G319" s="7">
        <f t="shared" si="41"/>
        <v>0</v>
      </c>
      <c r="H319" s="7">
        <f t="shared" si="41"/>
        <v>18.23</v>
      </c>
      <c r="I319" s="7">
        <f t="shared" si="41"/>
        <v>73</v>
      </c>
      <c r="J319" s="7">
        <f t="shared" si="41"/>
        <v>1.4999999999999999E-2</v>
      </c>
      <c r="K319" s="7">
        <f t="shared" si="41"/>
        <v>0.6</v>
      </c>
      <c r="L319" s="7">
        <f t="shared" si="41"/>
        <v>0</v>
      </c>
      <c r="M319" s="7">
        <f t="shared" si="41"/>
        <v>24.2</v>
      </c>
      <c r="N319" s="7">
        <f t="shared" si="41"/>
        <v>21.9</v>
      </c>
      <c r="O319" s="7">
        <f t="shared" si="41"/>
        <v>15.75</v>
      </c>
      <c r="P319" s="7">
        <f t="shared" si="41"/>
        <v>0.51</v>
      </c>
      <c r="Q319" s="7"/>
      <c r="R319" s="83">
        <f>SUM(R317:R318)</f>
        <v>5.85</v>
      </c>
    </row>
    <row r="320" spans="1:18" ht="21">
      <c r="A320" s="36"/>
      <c r="B320" s="130" t="s">
        <v>150</v>
      </c>
      <c r="C320" s="133"/>
      <c r="D320" s="133"/>
      <c r="E320" s="133"/>
      <c r="F320" s="133"/>
      <c r="G320" s="133"/>
      <c r="H320" s="133"/>
      <c r="I320" s="133"/>
      <c r="J320" s="133"/>
      <c r="K320" s="133"/>
      <c r="L320" s="133"/>
      <c r="M320" s="133"/>
      <c r="N320" s="133"/>
      <c r="O320" s="133"/>
      <c r="P320" s="133"/>
      <c r="Q320" s="133"/>
      <c r="R320" s="134"/>
    </row>
    <row r="321" spans="1:18" ht="18">
      <c r="A321" s="36"/>
      <c r="B321" s="31" t="s">
        <v>68</v>
      </c>
      <c r="C321" s="7">
        <v>120</v>
      </c>
      <c r="D321" s="7">
        <v>0</v>
      </c>
      <c r="E321" s="7">
        <f>C321-D321</f>
        <v>120</v>
      </c>
      <c r="F321" s="7">
        <f>E321*0.08%</f>
        <v>9.6000000000000002E-2</v>
      </c>
      <c r="G321" s="7">
        <v>0</v>
      </c>
      <c r="H321" s="7">
        <f>E321*9.6%</f>
        <v>11.52</v>
      </c>
      <c r="I321" s="7">
        <f>E321*43%</f>
        <v>51.6</v>
      </c>
      <c r="J321" s="7">
        <f>E321*0.06%</f>
        <v>7.1999999999999995E-2</v>
      </c>
      <c r="K321" s="7">
        <f>E321*10%</f>
        <v>12</v>
      </c>
      <c r="L321" s="7">
        <v>0</v>
      </c>
      <c r="M321" s="7">
        <f>E321*20%</f>
        <v>24</v>
      </c>
      <c r="N321" s="7">
        <f>E321*20%</f>
        <v>24</v>
      </c>
      <c r="O321" s="7">
        <f>E321*9%</f>
        <v>10.799999999999999</v>
      </c>
      <c r="P321" s="7">
        <f>E321*0.5%</f>
        <v>0.6</v>
      </c>
      <c r="Q321" s="7">
        <v>63</v>
      </c>
      <c r="R321" s="7">
        <f>C321/1000*63</f>
        <v>7.56</v>
      </c>
    </row>
    <row r="322" spans="1:18" s="85" customFormat="1" ht="19.5" customHeight="1">
      <c r="A322" s="33"/>
      <c r="B322" s="121" t="s">
        <v>94</v>
      </c>
      <c r="C322" s="122"/>
      <c r="D322" s="122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22"/>
      <c r="P322" s="122"/>
      <c r="Q322" s="122"/>
      <c r="R322" s="123"/>
    </row>
    <row r="323" spans="1:18" s="85" customFormat="1" ht="27.75" customHeight="1">
      <c r="A323" s="33"/>
      <c r="B323" s="31" t="s">
        <v>68</v>
      </c>
      <c r="C323" s="7">
        <v>3</v>
      </c>
      <c r="D323" s="7">
        <v>0</v>
      </c>
      <c r="E323" s="7">
        <f>C323-D323</f>
        <v>3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20</v>
      </c>
      <c r="R323" s="7">
        <f>C323/1000*20</f>
        <v>0.06</v>
      </c>
    </row>
    <row r="324" spans="1:18" s="85" customFormat="1" ht="21" customHeight="1">
      <c r="A324" s="33"/>
      <c r="B324" s="31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</row>
    <row r="325" spans="1:18" s="85" customFormat="1" ht="21.75" customHeight="1">
      <c r="A325" s="33"/>
      <c r="B325" s="25" t="s">
        <v>68</v>
      </c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>
        <f>R323+R321+R319+R315+R313+R304</f>
        <v>60.984000000000002</v>
      </c>
    </row>
    <row r="326" spans="1:18" s="274" customFormat="1" ht="27" customHeight="1">
      <c r="A326" s="274" t="s">
        <v>141</v>
      </c>
    </row>
    <row r="327" spans="1:18" s="274" customFormat="1" ht="27" customHeight="1"/>
    <row r="328" spans="1:18" s="274" customFormat="1" ht="26.25" customHeight="1"/>
    <row r="329" spans="1:18" ht="17.399999999999999">
      <c r="A329" s="185"/>
      <c r="B329" s="135" t="s">
        <v>0</v>
      </c>
      <c r="C329" s="187" t="s">
        <v>84</v>
      </c>
      <c r="D329" s="190" t="s">
        <v>19</v>
      </c>
      <c r="E329" s="190" t="s">
        <v>18</v>
      </c>
      <c r="F329" s="146" t="s">
        <v>1</v>
      </c>
      <c r="G329" s="146" t="s">
        <v>2</v>
      </c>
      <c r="H329" s="142" t="s">
        <v>3</v>
      </c>
      <c r="I329" s="146" t="s">
        <v>4</v>
      </c>
      <c r="J329" s="193" t="s">
        <v>5</v>
      </c>
      <c r="K329" s="193"/>
      <c r="L329" s="193"/>
      <c r="M329" s="193" t="s">
        <v>6</v>
      </c>
      <c r="N329" s="193"/>
      <c r="O329" s="193"/>
      <c r="P329" s="193"/>
      <c r="Q329" s="146" t="s">
        <v>65</v>
      </c>
      <c r="R329" s="194" t="s">
        <v>102</v>
      </c>
    </row>
    <row r="330" spans="1:18" ht="20.25" customHeight="1">
      <c r="A330" s="186"/>
      <c r="B330" s="135"/>
      <c r="C330" s="188"/>
      <c r="D330" s="191"/>
      <c r="E330" s="191"/>
      <c r="F330" s="147"/>
      <c r="G330" s="147"/>
      <c r="H330" s="143"/>
      <c r="I330" s="147"/>
      <c r="J330" s="146" t="s">
        <v>7</v>
      </c>
      <c r="K330" s="190" t="s">
        <v>8</v>
      </c>
      <c r="L330" s="146" t="s">
        <v>9</v>
      </c>
      <c r="M330" s="146" t="s">
        <v>10</v>
      </c>
      <c r="N330" s="146" t="s">
        <v>11</v>
      </c>
      <c r="O330" s="146" t="s">
        <v>12</v>
      </c>
      <c r="P330" s="146" t="s">
        <v>13</v>
      </c>
      <c r="Q330" s="147"/>
      <c r="R330" s="195"/>
    </row>
    <row r="331" spans="1:18" ht="21.75" customHeight="1">
      <c r="A331" s="42"/>
      <c r="B331" s="40"/>
      <c r="C331" s="189"/>
      <c r="D331" s="192"/>
      <c r="E331" s="192"/>
      <c r="F331" s="148"/>
      <c r="G331" s="148"/>
      <c r="H331" s="144"/>
      <c r="I331" s="148"/>
      <c r="J331" s="148"/>
      <c r="K331" s="192"/>
      <c r="L331" s="148"/>
      <c r="M331" s="148"/>
      <c r="N331" s="148"/>
      <c r="O331" s="148"/>
      <c r="P331" s="148"/>
      <c r="Q331" s="148"/>
      <c r="R331" s="196"/>
    </row>
    <row r="332" spans="1:18" ht="23.25" customHeight="1">
      <c r="A332" s="80"/>
      <c r="B332" s="124" t="s">
        <v>111</v>
      </c>
      <c r="C332" s="125"/>
      <c r="D332" s="125"/>
      <c r="E332" s="125"/>
      <c r="F332" s="125"/>
      <c r="G332" s="125"/>
      <c r="H332" s="125"/>
      <c r="I332" s="125"/>
      <c r="J332" s="125"/>
      <c r="K332" s="125"/>
      <c r="L332" s="125"/>
      <c r="M332" s="125"/>
      <c r="N332" s="125"/>
      <c r="O332" s="125"/>
      <c r="P332" s="125"/>
      <c r="Q332" s="125"/>
      <c r="R332" s="126"/>
    </row>
    <row r="333" spans="1:18" ht="28.5" customHeight="1">
      <c r="A333" s="33"/>
      <c r="B333" s="1" t="s">
        <v>78</v>
      </c>
      <c r="C333" s="4">
        <v>80</v>
      </c>
      <c r="D333" s="4">
        <f>C333*20%</f>
        <v>16</v>
      </c>
      <c r="E333" s="4">
        <f>C333-D333</f>
        <v>64</v>
      </c>
      <c r="F333" s="4">
        <f>E333*18%</f>
        <v>11.52</v>
      </c>
      <c r="G333" s="4">
        <f>E333*13.2%</f>
        <v>8.4480000000000004</v>
      </c>
      <c r="H333" s="4">
        <v>0</v>
      </c>
      <c r="I333" s="4">
        <f>E333*191%</f>
        <v>122.24</v>
      </c>
      <c r="J333" s="4">
        <f>E333*0.12%</f>
        <v>7.6799999999999993E-2</v>
      </c>
      <c r="K333" s="4">
        <f>E333*1.2%</f>
        <v>0.76800000000000002</v>
      </c>
      <c r="L333" s="4">
        <f>E333*0.01%</f>
        <v>6.4000000000000003E-3</v>
      </c>
      <c r="M333" s="4">
        <f>E333*40%</f>
        <v>25.6</v>
      </c>
      <c r="N333" s="4">
        <f>E333*280%</f>
        <v>179.2</v>
      </c>
      <c r="O333" s="4">
        <f>E333*50%</f>
        <v>32</v>
      </c>
      <c r="P333" s="4">
        <f>E333*1.7%</f>
        <v>1.0880000000000001</v>
      </c>
      <c r="Q333" s="4">
        <v>350</v>
      </c>
      <c r="R333" s="4">
        <f>C333/1000*350</f>
        <v>28</v>
      </c>
    </row>
    <row r="334" spans="1:18" ht="18">
      <c r="A334" s="33"/>
      <c r="B334" s="1" t="s">
        <v>16</v>
      </c>
      <c r="C334" s="4">
        <v>9</v>
      </c>
      <c r="D334" s="4">
        <v>0</v>
      </c>
      <c r="E334" s="4">
        <f>C334-D334</f>
        <v>9</v>
      </c>
      <c r="F334" s="4">
        <v>0</v>
      </c>
      <c r="G334" s="6">
        <f>E334*99.9%</f>
        <v>8.9910000000000014</v>
      </c>
      <c r="H334" s="4">
        <v>0</v>
      </c>
      <c r="I334" s="4">
        <f>E334*8.99%</f>
        <v>0.80910000000000004</v>
      </c>
      <c r="J334" s="4">
        <f>E334*0.06%</f>
        <v>5.3999999999999994E-3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150</v>
      </c>
      <c r="R334" s="3">
        <f>C334/1000*150</f>
        <v>1.3499999999999999</v>
      </c>
    </row>
    <row r="335" spans="1:18" ht="18">
      <c r="A335" s="33"/>
      <c r="B335" s="30" t="s">
        <v>68</v>
      </c>
      <c r="C335" s="5">
        <f>SUM(C333:C334)</f>
        <v>89</v>
      </c>
      <c r="D335" s="5">
        <f>SUM(D334:D334)</f>
        <v>0</v>
      </c>
      <c r="E335" s="5">
        <v>59</v>
      </c>
      <c r="F335" s="5">
        <f t="shared" ref="F335:P335" si="42">SUM(F333:F334)</f>
        <v>11.52</v>
      </c>
      <c r="G335" s="5">
        <f t="shared" si="42"/>
        <v>17.439</v>
      </c>
      <c r="H335" s="5">
        <f t="shared" si="42"/>
        <v>0</v>
      </c>
      <c r="I335" s="5">
        <f t="shared" si="42"/>
        <v>123.0491</v>
      </c>
      <c r="J335" s="5">
        <f t="shared" si="42"/>
        <v>8.2199999999999995E-2</v>
      </c>
      <c r="K335" s="5">
        <f t="shared" si="42"/>
        <v>0.76800000000000002</v>
      </c>
      <c r="L335" s="5">
        <f t="shared" si="42"/>
        <v>6.4000000000000003E-3</v>
      </c>
      <c r="M335" s="5">
        <f t="shared" si="42"/>
        <v>25.6</v>
      </c>
      <c r="N335" s="5">
        <f t="shared" si="42"/>
        <v>179.2</v>
      </c>
      <c r="O335" s="5">
        <f t="shared" si="42"/>
        <v>32</v>
      </c>
      <c r="P335" s="5">
        <f t="shared" si="42"/>
        <v>1.0880000000000001</v>
      </c>
      <c r="Q335" s="5"/>
      <c r="R335" s="5">
        <f t="shared" ref="R335" si="43">SUM(R333:R334)</f>
        <v>29.35</v>
      </c>
    </row>
    <row r="336" spans="1:18" ht="20.25" customHeight="1">
      <c r="A336" s="127" t="s">
        <v>112</v>
      </c>
      <c r="B336" s="128"/>
      <c r="C336" s="128"/>
      <c r="D336" s="128"/>
      <c r="E336" s="128"/>
      <c r="F336" s="128"/>
      <c r="G336" s="128"/>
      <c r="H336" s="128"/>
      <c r="I336" s="128"/>
      <c r="J336" s="128"/>
      <c r="K336" s="128"/>
      <c r="L336" s="128"/>
      <c r="M336" s="128"/>
      <c r="N336" s="128"/>
      <c r="O336" s="128"/>
      <c r="P336" s="128"/>
      <c r="Q336" s="128"/>
      <c r="R336" s="129"/>
    </row>
    <row r="337" spans="1:18" ht="18">
      <c r="A337" s="36"/>
      <c r="B337" s="3" t="s">
        <v>70</v>
      </c>
      <c r="C337" s="4">
        <v>150</v>
      </c>
      <c r="D337" s="4">
        <f>C337*0.25</f>
        <v>37.5</v>
      </c>
      <c r="E337" s="4">
        <f>C337-D337</f>
        <v>112.5</v>
      </c>
      <c r="F337" s="4">
        <f>E337*2%</f>
        <v>2.25</v>
      </c>
      <c r="G337" s="4">
        <f>E337*0.4%</f>
        <v>0.45</v>
      </c>
      <c r="H337" s="4">
        <f>E337*16.3%</f>
        <v>18.337500000000002</v>
      </c>
      <c r="I337" s="4">
        <f>E337*80%</f>
        <v>90</v>
      </c>
      <c r="J337" s="4">
        <f>E337*0.12%</f>
        <v>0.13499999999999998</v>
      </c>
      <c r="K337" s="4">
        <f>E337*20%</f>
        <v>22.5</v>
      </c>
      <c r="L337" s="4">
        <v>0</v>
      </c>
      <c r="M337" s="4">
        <f>E337*10%</f>
        <v>11.25</v>
      </c>
      <c r="N337" s="4">
        <f>E337*58%</f>
        <v>65.25</v>
      </c>
      <c r="O337" s="4">
        <f>E337*23%</f>
        <v>25.875</v>
      </c>
      <c r="P337" s="4">
        <f>E337*0.9%</f>
        <v>1.0125000000000002</v>
      </c>
      <c r="Q337" s="4">
        <v>57</v>
      </c>
      <c r="R337" s="4">
        <f>C337/1000*57</f>
        <v>8.5499999999999989</v>
      </c>
    </row>
    <row r="338" spans="1:18" ht="30" customHeight="1">
      <c r="A338" s="36"/>
      <c r="B338" s="3" t="s">
        <v>21</v>
      </c>
      <c r="C338" s="4">
        <v>15</v>
      </c>
      <c r="D338" s="4">
        <v>0</v>
      </c>
      <c r="E338" s="4">
        <f>C338-D338</f>
        <v>15</v>
      </c>
      <c r="F338" s="4">
        <f>E338*0.5%</f>
        <v>7.4999999999999997E-2</v>
      </c>
      <c r="G338" s="4">
        <f>E338*82.5%</f>
        <v>12.375</v>
      </c>
      <c r="H338" s="4">
        <f>E338*0.8%</f>
        <v>0.12</v>
      </c>
      <c r="I338" s="4">
        <f>E338*748%</f>
        <v>112.2</v>
      </c>
      <c r="J338" s="4">
        <v>0</v>
      </c>
      <c r="K338" s="4">
        <v>0</v>
      </c>
      <c r="L338" s="4">
        <f>E338*0.59%</f>
        <v>8.8499999999999995E-2</v>
      </c>
      <c r="M338" s="4">
        <f>E338*12%</f>
        <v>1.7999999999999998</v>
      </c>
      <c r="N338" s="4">
        <f>E338*19%</f>
        <v>2.85</v>
      </c>
      <c r="O338" s="4">
        <f>E338*0.4%</f>
        <v>0.06</v>
      </c>
      <c r="P338" s="4">
        <f>E338*0.2%</f>
        <v>0.03</v>
      </c>
      <c r="Q338" s="4">
        <v>480</v>
      </c>
      <c r="R338" s="24">
        <f>C338/1000*480</f>
        <v>7.1999999999999993</v>
      </c>
    </row>
    <row r="339" spans="1:18" ht="18">
      <c r="A339" s="36"/>
      <c r="B339" s="30" t="s">
        <v>68</v>
      </c>
      <c r="C339" s="7">
        <f t="shared" ref="C339:P339" si="44">SUM(C337:C338)</f>
        <v>165</v>
      </c>
      <c r="D339" s="7">
        <f t="shared" si="44"/>
        <v>37.5</v>
      </c>
      <c r="E339" s="7">
        <f t="shared" si="44"/>
        <v>127.5</v>
      </c>
      <c r="F339" s="7">
        <f t="shared" si="44"/>
        <v>2.3250000000000002</v>
      </c>
      <c r="G339" s="7">
        <f t="shared" si="44"/>
        <v>12.824999999999999</v>
      </c>
      <c r="H339" s="7">
        <f t="shared" si="44"/>
        <v>18.457500000000003</v>
      </c>
      <c r="I339" s="7">
        <f t="shared" si="44"/>
        <v>202.2</v>
      </c>
      <c r="J339" s="7">
        <f t="shared" si="44"/>
        <v>0.13499999999999998</v>
      </c>
      <c r="K339" s="7">
        <f t="shared" si="44"/>
        <v>22.5</v>
      </c>
      <c r="L339" s="7">
        <f t="shared" si="44"/>
        <v>8.8499999999999995E-2</v>
      </c>
      <c r="M339" s="7">
        <f t="shared" si="44"/>
        <v>13.05</v>
      </c>
      <c r="N339" s="7">
        <f t="shared" si="44"/>
        <v>68.099999999999994</v>
      </c>
      <c r="O339" s="7">
        <f t="shared" si="44"/>
        <v>25.934999999999999</v>
      </c>
      <c r="P339" s="7">
        <f t="shared" si="44"/>
        <v>1.0425000000000002</v>
      </c>
      <c r="Q339" s="7"/>
      <c r="R339" s="7">
        <f>SUM(R337:R338)</f>
        <v>15.749999999999998</v>
      </c>
    </row>
    <row r="340" spans="1:18" ht="21" customHeight="1">
      <c r="A340" s="33"/>
      <c r="B340" s="130" t="s">
        <v>92</v>
      </c>
      <c r="C340" s="131"/>
      <c r="D340" s="131"/>
      <c r="E340" s="131"/>
      <c r="F340" s="131"/>
      <c r="G340" s="131"/>
      <c r="H340" s="131"/>
      <c r="I340" s="131"/>
      <c r="J340" s="131"/>
      <c r="K340" s="131"/>
      <c r="L340" s="131"/>
      <c r="M340" s="131"/>
      <c r="N340" s="131"/>
      <c r="O340" s="131"/>
      <c r="P340" s="131"/>
      <c r="Q340" s="131"/>
      <c r="R340" s="132"/>
    </row>
    <row r="341" spans="1:18" ht="18">
      <c r="A341" s="33"/>
      <c r="B341" s="31" t="s">
        <v>68</v>
      </c>
      <c r="C341" s="7">
        <v>50</v>
      </c>
      <c r="D341" s="7">
        <v>0</v>
      </c>
      <c r="E341" s="7">
        <v>50</v>
      </c>
      <c r="F341" s="7">
        <f>E341*7.9%</f>
        <v>3.95</v>
      </c>
      <c r="G341" s="7">
        <f>E341*1%</f>
        <v>0.5</v>
      </c>
      <c r="H341" s="7">
        <f>E341*48.1%</f>
        <v>24.05</v>
      </c>
      <c r="I341" s="7">
        <f>E341*239%</f>
        <v>119.5</v>
      </c>
      <c r="J341" s="7">
        <f>E341*0.16%</f>
        <v>0.08</v>
      </c>
      <c r="K341" s="7">
        <v>0</v>
      </c>
      <c r="L341" s="7">
        <v>0</v>
      </c>
      <c r="M341" s="7">
        <f>E341*23%</f>
        <v>11.5</v>
      </c>
      <c r="N341" s="7">
        <f>E341*87%</f>
        <v>43.5</v>
      </c>
      <c r="O341" s="7">
        <f>E341*33%</f>
        <v>16.5</v>
      </c>
      <c r="P341" s="7">
        <f>E341*2%</f>
        <v>1</v>
      </c>
      <c r="Q341" s="7">
        <v>50</v>
      </c>
      <c r="R341" s="7">
        <f>C341/1000*50</f>
        <v>2.5</v>
      </c>
    </row>
    <row r="342" spans="1:18" ht="23.25" customHeight="1">
      <c r="A342" s="33"/>
      <c r="B342" s="130" t="s">
        <v>97</v>
      </c>
      <c r="C342" s="131"/>
      <c r="D342" s="131"/>
      <c r="E342" s="131"/>
      <c r="F342" s="131"/>
      <c r="G342" s="131"/>
      <c r="H342" s="131"/>
      <c r="I342" s="131"/>
      <c r="J342" s="131"/>
      <c r="K342" s="131"/>
      <c r="L342" s="131"/>
      <c r="M342" s="131"/>
      <c r="N342" s="131"/>
      <c r="O342" s="131"/>
      <c r="P342" s="131"/>
      <c r="Q342" s="131"/>
      <c r="R342" s="132"/>
    </row>
    <row r="343" spans="1:18" ht="18">
      <c r="A343" s="33"/>
      <c r="B343" s="4" t="s">
        <v>66</v>
      </c>
      <c r="C343" s="4">
        <v>15</v>
      </c>
      <c r="D343" s="4">
        <v>0</v>
      </c>
      <c r="E343" s="4">
        <v>15</v>
      </c>
      <c r="F343" s="4">
        <f>E343*5.2%</f>
        <v>0.78</v>
      </c>
      <c r="G343" s="4">
        <v>0</v>
      </c>
      <c r="H343" s="4">
        <f>E343*55%</f>
        <v>8.25</v>
      </c>
      <c r="I343" s="4">
        <f>E343*234%</f>
        <v>35.099999999999994</v>
      </c>
      <c r="J343" s="4">
        <f>E343*0.1%</f>
        <v>1.4999999999999999E-2</v>
      </c>
      <c r="K343" s="4">
        <f>E343*4%</f>
        <v>0.6</v>
      </c>
      <c r="L343" s="4">
        <v>0</v>
      </c>
      <c r="M343" s="4">
        <f>E343*160%</f>
        <v>24</v>
      </c>
      <c r="N343" s="4">
        <f>E343*146%</f>
        <v>21.9</v>
      </c>
      <c r="O343" s="4">
        <f>E343*105%</f>
        <v>15.75</v>
      </c>
      <c r="P343" s="4">
        <f>E343*3.2%</f>
        <v>0.48</v>
      </c>
      <c r="Q343" s="4">
        <v>350</v>
      </c>
      <c r="R343" s="4">
        <f>C343/1000*350</f>
        <v>5.25</v>
      </c>
    </row>
    <row r="344" spans="1:18" ht="21" customHeight="1">
      <c r="A344" s="33"/>
      <c r="B344" s="4" t="s">
        <v>67</v>
      </c>
      <c r="C344" s="4">
        <v>10</v>
      </c>
      <c r="D344" s="4">
        <v>0</v>
      </c>
      <c r="E344" s="4">
        <v>10</v>
      </c>
      <c r="F344" s="4">
        <v>0</v>
      </c>
      <c r="G344" s="4">
        <v>0</v>
      </c>
      <c r="H344" s="4">
        <f>E344*99.8%</f>
        <v>9.98</v>
      </c>
      <c r="I344" s="4">
        <f>E344*379%</f>
        <v>37.9</v>
      </c>
      <c r="J344" s="4">
        <v>0</v>
      </c>
      <c r="K344" s="4">
        <v>0</v>
      </c>
      <c r="L344" s="4">
        <v>0</v>
      </c>
      <c r="M344" s="4">
        <f>E344*2%</f>
        <v>0.2</v>
      </c>
      <c r="N344" s="4">
        <v>0</v>
      </c>
      <c r="O344" s="4">
        <v>0</v>
      </c>
      <c r="P344" s="4">
        <f>E344*0.3%</f>
        <v>0.03</v>
      </c>
      <c r="Q344" s="4">
        <v>60</v>
      </c>
      <c r="R344" s="4">
        <f>C344/1000*60</f>
        <v>0.6</v>
      </c>
    </row>
    <row r="345" spans="1:18" ht="18">
      <c r="A345" s="33"/>
      <c r="B345" s="31" t="s">
        <v>68</v>
      </c>
      <c r="C345" s="7">
        <v>25</v>
      </c>
      <c r="D345" s="7">
        <f t="shared" ref="D345" si="45">SUM(D343:D344)</f>
        <v>0</v>
      </c>
      <c r="E345" s="7">
        <v>150</v>
      </c>
      <c r="F345" s="7">
        <f t="shared" ref="F345:P345" si="46">SUM(F343:F344)</f>
        <v>0.78</v>
      </c>
      <c r="G345" s="7">
        <f t="shared" si="46"/>
        <v>0</v>
      </c>
      <c r="H345" s="7">
        <f t="shared" si="46"/>
        <v>18.23</v>
      </c>
      <c r="I345" s="7">
        <f t="shared" si="46"/>
        <v>73</v>
      </c>
      <c r="J345" s="7">
        <f t="shared" si="46"/>
        <v>1.4999999999999999E-2</v>
      </c>
      <c r="K345" s="7">
        <f t="shared" si="46"/>
        <v>0.6</v>
      </c>
      <c r="L345" s="7">
        <f t="shared" si="46"/>
        <v>0</v>
      </c>
      <c r="M345" s="7">
        <f t="shared" si="46"/>
        <v>24.2</v>
      </c>
      <c r="N345" s="7">
        <f t="shared" si="46"/>
        <v>21.9</v>
      </c>
      <c r="O345" s="7">
        <f t="shared" si="46"/>
        <v>15.75</v>
      </c>
      <c r="P345" s="7">
        <f t="shared" si="46"/>
        <v>0.51</v>
      </c>
      <c r="Q345" s="7"/>
      <c r="R345" s="7">
        <f>SUM(R343:R344)</f>
        <v>5.85</v>
      </c>
    </row>
    <row r="346" spans="1:18" ht="21.75" customHeight="1">
      <c r="A346" s="33"/>
      <c r="B346" s="130" t="s">
        <v>125</v>
      </c>
      <c r="C346" s="133"/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33"/>
      <c r="O346" s="133"/>
      <c r="P346" s="133"/>
      <c r="Q346" s="133"/>
      <c r="R346" s="134"/>
    </row>
    <row r="347" spans="1:18" ht="18">
      <c r="A347" s="33"/>
      <c r="B347" s="31" t="s">
        <v>68</v>
      </c>
      <c r="C347" s="7">
        <v>125</v>
      </c>
      <c r="D347" s="7">
        <v>0</v>
      </c>
      <c r="E347" s="7">
        <f>C347-D347</f>
        <v>125</v>
      </c>
      <c r="F347" s="7">
        <f>E347*0.6%</f>
        <v>0.75</v>
      </c>
      <c r="G347" s="7">
        <f>E347*0.2%</f>
        <v>0.25</v>
      </c>
      <c r="H347" s="7">
        <f>E347*15%</f>
        <v>18.75</v>
      </c>
      <c r="I347" s="7">
        <f>E347*65%</f>
        <v>81.25</v>
      </c>
      <c r="J347" s="7">
        <f>E347*0.05%</f>
        <v>6.25E-2</v>
      </c>
      <c r="K347" s="7">
        <f>E347*6%</f>
        <v>7.5</v>
      </c>
      <c r="L347" s="7">
        <v>0</v>
      </c>
      <c r="M347" s="7">
        <f>E347*45%</f>
        <v>56.25</v>
      </c>
      <c r="N347" s="7">
        <f>E347*22%</f>
        <v>27.5</v>
      </c>
      <c r="O347" s="7">
        <f>E347*17%</f>
        <v>21.25</v>
      </c>
      <c r="P347" s="7">
        <f>E347*0.6%</f>
        <v>0.75</v>
      </c>
      <c r="Q347" s="7">
        <v>60</v>
      </c>
      <c r="R347" s="7">
        <f>C347/1000*60</f>
        <v>7.5</v>
      </c>
    </row>
    <row r="348" spans="1:18" ht="21">
      <c r="A348" s="36"/>
      <c r="B348" s="121" t="s">
        <v>94</v>
      </c>
      <c r="C348" s="122"/>
      <c r="D348" s="122"/>
      <c r="E348" s="122"/>
      <c r="F348" s="122"/>
      <c r="G348" s="122"/>
      <c r="H348" s="122"/>
      <c r="I348" s="122"/>
      <c r="J348" s="122"/>
      <c r="K348" s="122"/>
      <c r="L348" s="122"/>
      <c r="M348" s="122"/>
      <c r="N348" s="122"/>
      <c r="O348" s="122"/>
      <c r="P348" s="122"/>
      <c r="Q348" s="122"/>
      <c r="R348" s="123"/>
    </row>
    <row r="349" spans="1:18" ht="18">
      <c r="A349" s="36"/>
      <c r="B349" s="31" t="s">
        <v>68</v>
      </c>
      <c r="C349" s="27">
        <v>3</v>
      </c>
      <c r="D349" s="7">
        <v>0</v>
      </c>
      <c r="E349" s="27">
        <f>C349-D349</f>
        <v>3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20</v>
      </c>
      <c r="R349" s="27">
        <f>C349/1000*20</f>
        <v>0.06</v>
      </c>
    </row>
    <row r="350" spans="1:18" ht="18">
      <c r="A350" s="3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23.4">
      <c r="A351" s="36"/>
      <c r="B351" s="25" t="s">
        <v>68</v>
      </c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>
        <f>R349+R347+R345+R341+R339+R335</f>
        <v>61.01</v>
      </c>
    </row>
    <row r="353" spans="1:18" ht="30" customHeight="1">
      <c r="A353" s="37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28"/>
    </row>
    <row r="354" spans="1:18" ht="30" customHeight="1">
      <c r="A354" s="221" t="s">
        <v>144</v>
      </c>
      <c r="B354" s="221"/>
      <c r="C354" s="221"/>
      <c r="D354" s="221"/>
      <c r="E354" s="221"/>
      <c r="F354" s="221"/>
      <c r="G354" s="221"/>
      <c r="H354" s="221"/>
      <c r="I354" s="221"/>
      <c r="J354" s="221"/>
      <c r="K354" s="221"/>
      <c r="L354" s="221"/>
      <c r="M354" s="221"/>
      <c r="N354" s="221"/>
      <c r="O354" s="221"/>
      <c r="P354" s="221"/>
      <c r="Q354" s="221"/>
      <c r="R354" s="221"/>
    </row>
    <row r="355" spans="1:18" ht="17.399999999999999">
      <c r="A355" s="185"/>
      <c r="B355" s="222" t="s">
        <v>0</v>
      </c>
      <c r="C355" s="187" t="s">
        <v>84</v>
      </c>
      <c r="D355" s="190" t="s">
        <v>19</v>
      </c>
      <c r="E355" s="190" t="s">
        <v>18</v>
      </c>
      <c r="F355" s="146" t="s">
        <v>1</v>
      </c>
      <c r="G355" s="146" t="s">
        <v>2</v>
      </c>
      <c r="H355" s="142" t="s">
        <v>3</v>
      </c>
      <c r="I355" s="146" t="s">
        <v>4</v>
      </c>
      <c r="J355" s="224" t="s">
        <v>5</v>
      </c>
      <c r="K355" s="225"/>
      <c r="L355" s="226"/>
      <c r="M355" s="224" t="s">
        <v>6</v>
      </c>
      <c r="N355" s="225"/>
      <c r="O355" s="225"/>
      <c r="P355" s="226"/>
      <c r="Q355" s="146" t="s">
        <v>65</v>
      </c>
      <c r="R355" s="194" t="s">
        <v>102</v>
      </c>
    </row>
    <row r="356" spans="1:18" ht="18.75" customHeight="1">
      <c r="A356" s="186"/>
      <c r="B356" s="223"/>
      <c r="C356" s="188"/>
      <c r="D356" s="191"/>
      <c r="E356" s="191"/>
      <c r="F356" s="147"/>
      <c r="G356" s="147"/>
      <c r="H356" s="143"/>
      <c r="I356" s="147"/>
      <c r="J356" s="146" t="s">
        <v>7</v>
      </c>
      <c r="K356" s="190" t="s">
        <v>8</v>
      </c>
      <c r="L356" s="146" t="s">
        <v>9</v>
      </c>
      <c r="M356" s="146" t="s">
        <v>10</v>
      </c>
      <c r="N356" s="146" t="s">
        <v>11</v>
      </c>
      <c r="O356" s="146" t="s">
        <v>12</v>
      </c>
      <c r="P356" s="146" t="s">
        <v>13</v>
      </c>
      <c r="Q356" s="147"/>
      <c r="R356" s="195"/>
    </row>
    <row r="357" spans="1:18" ht="34.5" customHeight="1">
      <c r="A357" s="42"/>
      <c r="B357" s="40"/>
      <c r="C357" s="189"/>
      <c r="D357" s="192"/>
      <c r="E357" s="192"/>
      <c r="F357" s="148"/>
      <c r="G357" s="148"/>
      <c r="H357" s="144"/>
      <c r="I357" s="148"/>
      <c r="J357" s="148"/>
      <c r="K357" s="192"/>
      <c r="L357" s="148"/>
      <c r="M357" s="148"/>
      <c r="N357" s="148"/>
      <c r="O357" s="148"/>
      <c r="P357" s="148"/>
      <c r="Q357" s="148"/>
      <c r="R357" s="196"/>
    </row>
    <row r="358" spans="1:18" ht="21">
      <c r="A358" s="26"/>
      <c r="B358" s="154" t="s">
        <v>117</v>
      </c>
      <c r="C358" s="157"/>
      <c r="D358" s="157"/>
      <c r="E358" s="157"/>
      <c r="F358" s="157"/>
      <c r="G358" s="157"/>
      <c r="H358" s="157"/>
      <c r="I358" s="157"/>
      <c r="J358" s="157"/>
      <c r="K358" s="157"/>
      <c r="L358" s="157"/>
      <c r="M358" s="157"/>
      <c r="N358" s="157"/>
      <c r="O358" s="157"/>
      <c r="P358" s="157"/>
      <c r="Q358" s="157"/>
      <c r="R358" s="213"/>
    </row>
    <row r="359" spans="1:18" ht="35.25" customHeight="1">
      <c r="A359" s="26"/>
      <c r="B359" s="3" t="s">
        <v>20</v>
      </c>
      <c r="C359" s="4">
        <v>50</v>
      </c>
      <c r="D359" s="4">
        <v>0</v>
      </c>
      <c r="E359" s="4">
        <f>C359-D359</f>
        <v>50</v>
      </c>
      <c r="F359" s="4">
        <f>E359*12.6%</f>
        <v>6.3</v>
      </c>
      <c r="G359" s="4">
        <f>E359*3.3%</f>
        <v>1.6500000000000001</v>
      </c>
      <c r="H359" s="4">
        <f>E359*62.1%</f>
        <v>31.05</v>
      </c>
      <c r="I359" s="4">
        <f>E359*335%</f>
        <v>167.5</v>
      </c>
      <c r="J359" s="4">
        <f>E359*0.43%</f>
        <v>0.215</v>
      </c>
      <c r="K359" s="4">
        <v>0</v>
      </c>
      <c r="L359" s="4">
        <v>0</v>
      </c>
      <c r="M359" s="4">
        <f>E359*20%</f>
        <v>10</v>
      </c>
      <c r="N359" s="4">
        <f>E359*298%</f>
        <v>149</v>
      </c>
      <c r="O359" s="4">
        <f>E359*200%</f>
        <v>100</v>
      </c>
      <c r="P359" s="4">
        <f>E359*6.7%</f>
        <v>3.35</v>
      </c>
      <c r="Q359" s="4">
        <v>85</v>
      </c>
      <c r="R359" s="24">
        <f>C359/1000*85</f>
        <v>4.25</v>
      </c>
    </row>
    <row r="360" spans="1:18" ht="18">
      <c r="A360" s="26"/>
      <c r="B360" s="3" t="s">
        <v>21</v>
      </c>
      <c r="C360" s="4">
        <v>10</v>
      </c>
      <c r="D360" s="4">
        <v>0</v>
      </c>
      <c r="E360" s="4">
        <f>C360-D360</f>
        <v>10</v>
      </c>
      <c r="F360" s="4">
        <f>E360*0.5%</f>
        <v>0.05</v>
      </c>
      <c r="G360" s="4">
        <f>E360*82.5%</f>
        <v>8.25</v>
      </c>
      <c r="H360" s="4">
        <f>E360*0.8%</f>
        <v>0.08</v>
      </c>
      <c r="I360" s="4">
        <f>E360*748%</f>
        <v>74.800000000000011</v>
      </c>
      <c r="J360" s="4">
        <v>0</v>
      </c>
      <c r="K360" s="4">
        <v>0</v>
      </c>
      <c r="L360" s="4">
        <f>E360*0.59%</f>
        <v>5.8999999999999997E-2</v>
      </c>
      <c r="M360" s="4">
        <f>E360*12%</f>
        <v>1.2</v>
      </c>
      <c r="N360" s="4">
        <f>E360*19%</f>
        <v>1.9</v>
      </c>
      <c r="O360" s="4">
        <f>E360*0.4%</f>
        <v>0.04</v>
      </c>
      <c r="P360" s="4">
        <f>E360*0.2%</f>
        <v>0.02</v>
      </c>
      <c r="Q360" s="4">
        <v>480</v>
      </c>
      <c r="R360" s="24">
        <f>C360/1000*480</f>
        <v>4.8</v>
      </c>
    </row>
    <row r="361" spans="1:18" ht="18">
      <c r="A361" s="26"/>
      <c r="B361" s="26" t="s">
        <v>68</v>
      </c>
      <c r="C361" s="7">
        <f>C360+C359</f>
        <v>60</v>
      </c>
      <c r="D361" s="7">
        <v>0</v>
      </c>
      <c r="E361" s="7">
        <v>100</v>
      </c>
      <c r="F361" s="7">
        <f t="shared" ref="F361:P361" si="47">SUM(F359:F360)</f>
        <v>6.35</v>
      </c>
      <c r="G361" s="7">
        <f t="shared" si="47"/>
        <v>9.9</v>
      </c>
      <c r="H361" s="7">
        <f t="shared" si="47"/>
        <v>31.13</v>
      </c>
      <c r="I361" s="7">
        <f t="shared" si="47"/>
        <v>242.3</v>
      </c>
      <c r="J361" s="7">
        <f t="shared" si="47"/>
        <v>0.215</v>
      </c>
      <c r="K361" s="7">
        <f t="shared" si="47"/>
        <v>0</v>
      </c>
      <c r="L361" s="7">
        <f t="shared" si="47"/>
        <v>5.8999999999999997E-2</v>
      </c>
      <c r="M361" s="7">
        <f t="shared" si="47"/>
        <v>11.2</v>
      </c>
      <c r="N361" s="7">
        <f t="shared" si="47"/>
        <v>150.9</v>
      </c>
      <c r="O361" s="7">
        <f t="shared" si="47"/>
        <v>100.04</v>
      </c>
      <c r="P361" s="7">
        <f t="shared" si="47"/>
        <v>3.37</v>
      </c>
      <c r="Q361" s="7"/>
      <c r="R361" s="7">
        <f>SUM(R359:R360)</f>
        <v>9.0500000000000007</v>
      </c>
    </row>
    <row r="362" spans="1:18" ht="23.25" customHeight="1">
      <c r="A362" s="36"/>
      <c r="B362" s="154" t="s">
        <v>95</v>
      </c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213"/>
    </row>
    <row r="363" spans="1:18" ht="18">
      <c r="A363" s="36"/>
      <c r="B363" s="3" t="s">
        <v>72</v>
      </c>
      <c r="C363" s="4">
        <v>95</v>
      </c>
      <c r="D363" s="4">
        <f>C363*25%</f>
        <v>23.75</v>
      </c>
      <c r="E363" s="4">
        <f>C363-D363</f>
        <v>71.25</v>
      </c>
      <c r="F363" s="4">
        <f>E363*18.2%</f>
        <v>12.967499999999999</v>
      </c>
      <c r="G363" s="4">
        <f>E363*18.4%</f>
        <v>13.11</v>
      </c>
      <c r="H363" s="4">
        <f>E363*0.7%</f>
        <v>0.49874999999999997</v>
      </c>
      <c r="I363" s="4">
        <f>E363*241%</f>
        <v>171.71250000000001</v>
      </c>
      <c r="J363" s="4">
        <f>E363*0.07%</f>
        <v>4.987500000000001E-2</v>
      </c>
      <c r="K363" s="4">
        <v>0</v>
      </c>
      <c r="L363" s="4">
        <f>E363*0.07%</f>
        <v>4.987500000000001E-2</v>
      </c>
      <c r="M363" s="4">
        <f>E363*16%</f>
        <v>11.4</v>
      </c>
      <c r="N363" s="4">
        <f>E363*165%</f>
        <v>117.5625</v>
      </c>
      <c r="O363" s="4">
        <f>E363*18%</f>
        <v>12.824999999999999</v>
      </c>
      <c r="P363" s="4">
        <f>E363*1.6%</f>
        <v>1.1400000000000001</v>
      </c>
      <c r="Q363" s="4">
        <v>270</v>
      </c>
      <c r="R363" s="4">
        <f>C363/1000*270</f>
        <v>25.65</v>
      </c>
    </row>
    <row r="364" spans="1:18" ht="18">
      <c r="A364" s="36"/>
      <c r="B364" s="31" t="s">
        <v>68</v>
      </c>
      <c r="C364" s="7">
        <f>SUM(C363:C363)</f>
        <v>95</v>
      </c>
      <c r="D364" s="7">
        <f>SUM(D363:D363)</f>
        <v>23.75</v>
      </c>
      <c r="E364" s="7">
        <f>E363-0</f>
        <v>71.25</v>
      </c>
      <c r="F364" s="7">
        <f t="shared" ref="F364:P364" si="48">SUM(F363:F363)</f>
        <v>12.967499999999999</v>
      </c>
      <c r="G364" s="7">
        <f t="shared" si="48"/>
        <v>13.11</v>
      </c>
      <c r="H364" s="7">
        <f t="shared" si="48"/>
        <v>0.49874999999999997</v>
      </c>
      <c r="I364" s="7">
        <f t="shared" si="48"/>
        <v>171.71250000000001</v>
      </c>
      <c r="J364" s="7">
        <f t="shared" si="48"/>
        <v>4.987500000000001E-2</v>
      </c>
      <c r="K364" s="7">
        <f t="shared" si="48"/>
        <v>0</v>
      </c>
      <c r="L364" s="7">
        <f t="shared" si="48"/>
        <v>4.987500000000001E-2</v>
      </c>
      <c r="M364" s="7">
        <f t="shared" si="48"/>
        <v>11.4</v>
      </c>
      <c r="N364" s="7">
        <f t="shared" si="48"/>
        <v>117.5625</v>
      </c>
      <c r="O364" s="7">
        <f t="shared" si="48"/>
        <v>12.824999999999999</v>
      </c>
      <c r="P364" s="7">
        <f t="shared" si="48"/>
        <v>1.1400000000000001</v>
      </c>
      <c r="Q364" s="7"/>
      <c r="R364" s="7">
        <f>SUM(R363:R363)</f>
        <v>25.65</v>
      </c>
    </row>
    <row r="365" spans="1:18" ht="21">
      <c r="A365" s="77"/>
      <c r="B365" s="130" t="s">
        <v>92</v>
      </c>
      <c r="C365" s="133"/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4"/>
    </row>
    <row r="366" spans="1:18" ht="18">
      <c r="A366" s="33"/>
      <c r="B366" s="31" t="s">
        <v>68</v>
      </c>
      <c r="C366" s="7">
        <v>30</v>
      </c>
      <c r="D366" s="7">
        <v>0</v>
      </c>
      <c r="E366" s="7">
        <f>C366-D366</f>
        <v>30</v>
      </c>
      <c r="F366" s="7">
        <f>E366*7.9%</f>
        <v>2.37</v>
      </c>
      <c r="G366" s="7">
        <f>E366*1%</f>
        <v>0.3</v>
      </c>
      <c r="H366" s="7">
        <f>E366*48.1%</f>
        <v>14.430000000000001</v>
      </c>
      <c r="I366" s="7">
        <f>E366*239%</f>
        <v>71.7</v>
      </c>
      <c r="J366" s="7">
        <f>E366*0.16%</f>
        <v>4.8000000000000001E-2</v>
      </c>
      <c r="K366" s="7">
        <v>0</v>
      </c>
      <c r="L366" s="7">
        <v>0</v>
      </c>
      <c r="M366" s="7">
        <f>E366*23%</f>
        <v>6.9</v>
      </c>
      <c r="N366" s="7">
        <f>E366*87%</f>
        <v>26.1</v>
      </c>
      <c r="O366" s="7">
        <f>E366*33%</f>
        <v>9.9</v>
      </c>
      <c r="P366" s="7">
        <f>E366*2%</f>
        <v>0.6</v>
      </c>
      <c r="Q366" s="7">
        <v>50</v>
      </c>
      <c r="R366" s="7">
        <f>C366/1000*50</f>
        <v>1.5</v>
      </c>
    </row>
    <row r="367" spans="1:18" ht="21">
      <c r="A367" s="33"/>
      <c r="B367" s="130" t="s">
        <v>151</v>
      </c>
      <c r="C367" s="133"/>
      <c r="D367" s="133"/>
      <c r="E367" s="133"/>
      <c r="F367" s="133"/>
      <c r="G367" s="133"/>
      <c r="H367" s="133"/>
      <c r="I367" s="133"/>
      <c r="J367" s="133"/>
      <c r="K367" s="133"/>
      <c r="L367" s="133"/>
      <c r="M367" s="133"/>
      <c r="N367" s="133"/>
      <c r="O367" s="133"/>
      <c r="P367" s="133"/>
      <c r="Q367" s="133"/>
      <c r="R367" s="134"/>
    </row>
    <row r="368" spans="1:18" ht="18">
      <c r="A368" s="33"/>
      <c r="B368" s="4" t="s">
        <v>66</v>
      </c>
      <c r="C368" s="4">
        <v>15</v>
      </c>
      <c r="D368" s="4">
        <v>0</v>
      </c>
      <c r="E368" s="4">
        <v>15</v>
      </c>
      <c r="F368" s="4">
        <f>E368*5.2%</f>
        <v>0.78</v>
      </c>
      <c r="G368" s="4">
        <v>0</v>
      </c>
      <c r="H368" s="4">
        <f>E368*55%</f>
        <v>8.25</v>
      </c>
      <c r="I368" s="4">
        <f>E368*234%</f>
        <v>35.099999999999994</v>
      </c>
      <c r="J368" s="4">
        <f>E368*0.1%</f>
        <v>1.4999999999999999E-2</v>
      </c>
      <c r="K368" s="4">
        <f>E368*4%</f>
        <v>0.6</v>
      </c>
      <c r="L368" s="4">
        <v>0</v>
      </c>
      <c r="M368" s="4">
        <f>E368*160%</f>
        <v>24</v>
      </c>
      <c r="N368" s="4">
        <f>E368*146%</f>
        <v>21.9</v>
      </c>
      <c r="O368" s="4">
        <f>E368*105%</f>
        <v>15.75</v>
      </c>
      <c r="P368" s="4">
        <f>E368*3.2%</f>
        <v>0.48</v>
      </c>
      <c r="Q368" s="4">
        <v>350</v>
      </c>
      <c r="R368" s="4">
        <f>C368/1000*350</f>
        <v>5.25</v>
      </c>
    </row>
    <row r="369" spans="1:18" ht="18">
      <c r="A369" s="33"/>
      <c r="B369" s="4" t="s">
        <v>67</v>
      </c>
      <c r="C369" s="4">
        <v>10</v>
      </c>
      <c r="D369" s="4">
        <v>0</v>
      </c>
      <c r="E369" s="4">
        <v>10</v>
      </c>
      <c r="F369" s="4">
        <v>0</v>
      </c>
      <c r="G369" s="4">
        <v>0</v>
      </c>
      <c r="H369" s="4">
        <f>E369*99.8%</f>
        <v>9.98</v>
      </c>
      <c r="I369" s="4">
        <f>E369*379%</f>
        <v>37.9</v>
      </c>
      <c r="J369" s="4">
        <v>0</v>
      </c>
      <c r="K369" s="4">
        <v>0</v>
      </c>
      <c r="L369" s="4">
        <v>0</v>
      </c>
      <c r="M369" s="4">
        <f>E369*2%</f>
        <v>0.2</v>
      </c>
      <c r="N369" s="4">
        <v>0</v>
      </c>
      <c r="O369" s="4">
        <v>0</v>
      </c>
      <c r="P369" s="4">
        <f>E369*0.3%</f>
        <v>0.03</v>
      </c>
      <c r="Q369" s="4">
        <v>60</v>
      </c>
      <c r="R369" s="4">
        <f>C369/1000*60</f>
        <v>0.6</v>
      </c>
    </row>
    <row r="370" spans="1:18" ht="18">
      <c r="A370" s="33"/>
      <c r="B370" s="31" t="s">
        <v>68</v>
      </c>
      <c r="C370" s="7">
        <v>25</v>
      </c>
      <c r="D370" s="7">
        <f>SUM(D368:D369)</f>
        <v>0</v>
      </c>
      <c r="E370" s="7">
        <v>150</v>
      </c>
      <c r="F370" s="7">
        <f t="shared" ref="F370:P370" si="49">SUM(F368:F369)</f>
        <v>0.78</v>
      </c>
      <c r="G370" s="7">
        <f t="shared" si="49"/>
        <v>0</v>
      </c>
      <c r="H370" s="7">
        <f t="shared" si="49"/>
        <v>18.23</v>
      </c>
      <c r="I370" s="7">
        <f t="shared" si="49"/>
        <v>73</v>
      </c>
      <c r="J370" s="7">
        <f t="shared" si="49"/>
        <v>1.4999999999999999E-2</v>
      </c>
      <c r="K370" s="7">
        <f t="shared" si="49"/>
        <v>0.6</v>
      </c>
      <c r="L370" s="7">
        <f t="shared" si="49"/>
        <v>0</v>
      </c>
      <c r="M370" s="7">
        <f t="shared" si="49"/>
        <v>24.2</v>
      </c>
      <c r="N370" s="7">
        <f t="shared" si="49"/>
        <v>21.9</v>
      </c>
      <c r="O370" s="7">
        <f t="shared" si="49"/>
        <v>15.75</v>
      </c>
      <c r="P370" s="7">
        <f t="shared" si="49"/>
        <v>0.51</v>
      </c>
      <c r="Q370" s="7"/>
      <c r="R370" s="7">
        <f>SUM(R368:R369)</f>
        <v>5.85</v>
      </c>
    </row>
    <row r="371" spans="1:18" ht="21">
      <c r="A371" s="77"/>
      <c r="B371" s="121" t="s">
        <v>98</v>
      </c>
      <c r="C371" s="214"/>
      <c r="D371" s="214"/>
      <c r="E371" s="214"/>
      <c r="F371" s="214"/>
      <c r="G371" s="214"/>
      <c r="H371" s="214"/>
      <c r="I371" s="214"/>
      <c r="J371" s="214"/>
      <c r="K371" s="214"/>
      <c r="L371" s="214"/>
      <c r="M371" s="214"/>
      <c r="N371" s="214"/>
      <c r="O371" s="214"/>
      <c r="P371" s="214"/>
      <c r="Q371" s="214"/>
      <c r="R371" s="215"/>
    </row>
    <row r="372" spans="1:18" ht="18">
      <c r="A372" s="33"/>
      <c r="B372" s="31" t="s">
        <v>68</v>
      </c>
      <c r="C372" s="7">
        <v>60</v>
      </c>
      <c r="D372" s="7">
        <v>0</v>
      </c>
      <c r="E372" s="7">
        <f>C372-D372</f>
        <v>60</v>
      </c>
      <c r="F372" s="4">
        <f>E372*7.5%</f>
        <v>4.5</v>
      </c>
      <c r="G372" s="4">
        <f>E372*11.8%</f>
        <v>7.08</v>
      </c>
      <c r="H372" s="4">
        <f>E372*74.4%</f>
        <v>44.640000000000008</v>
      </c>
      <c r="I372" s="4">
        <f>E372*436%</f>
        <v>261.60000000000002</v>
      </c>
      <c r="J372" s="4">
        <f>E372*0.08%</f>
        <v>4.8000000000000001E-2</v>
      </c>
      <c r="K372" s="4">
        <f>E372*0%</f>
        <v>0</v>
      </c>
      <c r="L372" s="4">
        <f>E372*0%</f>
        <v>0</v>
      </c>
      <c r="M372" s="4">
        <f>E372*29%</f>
        <v>17.399999999999999</v>
      </c>
      <c r="N372" s="4">
        <f>E372*90%</f>
        <v>54</v>
      </c>
      <c r="O372" s="4">
        <f>E372*20%</f>
        <v>12</v>
      </c>
      <c r="P372" s="4">
        <f>E372*2.1%</f>
        <v>1.26</v>
      </c>
      <c r="Q372" s="4">
        <v>160</v>
      </c>
      <c r="R372" s="7">
        <f>C372/1000*160</f>
        <v>9.6</v>
      </c>
    </row>
    <row r="373" spans="1:18" ht="21">
      <c r="A373" s="33"/>
      <c r="B373" s="130" t="s">
        <v>122</v>
      </c>
      <c r="C373" s="133"/>
      <c r="D373" s="133"/>
      <c r="E373" s="133"/>
      <c r="F373" s="133"/>
      <c r="G373" s="133"/>
      <c r="H373" s="133"/>
      <c r="I373" s="133"/>
      <c r="J373" s="133"/>
      <c r="K373" s="133"/>
      <c r="L373" s="133"/>
      <c r="M373" s="133"/>
      <c r="N373" s="133"/>
      <c r="O373" s="133"/>
      <c r="P373" s="133"/>
      <c r="Q373" s="133"/>
      <c r="R373" s="134"/>
    </row>
    <row r="374" spans="1:18" ht="18">
      <c r="A374" s="33"/>
      <c r="B374" s="31" t="s">
        <v>68</v>
      </c>
      <c r="C374" s="7">
        <v>155</v>
      </c>
      <c r="D374" s="7">
        <v>0</v>
      </c>
      <c r="E374" s="7">
        <f>C374-D374</f>
        <v>155</v>
      </c>
      <c r="F374" s="7">
        <f>E374*0.6%</f>
        <v>0.93</v>
      </c>
      <c r="G374" s="7">
        <f>E374*0.2%</f>
        <v>0.31</v>
      </c>
      <c r="H374" s="7">
        <f>E374*15%</f>
        <v>23.25</v>
      </c>
      <c r="I374" s="7">
        <f>E374*65%</f>
        <v>100.75</v>
      </c>
      <c r="J374" s="7">
        <f>E374*0.05%</f>
        <v>7.7499999999999999E-2</v>
      </c>
      <c r="K374" s="7">
        <f>E374*6%</f>
        <v>9.2999999999999989</v>
      </c>
      <c r="L374" s="7">
        <v>0</v>
      </c>
      <c r="M374" s="7">
        <f>E374*45%</f>
        <v>69.75</v>
      </c>
      <c r="N374" s="7">
        <f>E374*22%</f>
        <v>34.1</v>
      </c>
      <c r="O374" s="7">
        <f>E374*17%</f>
        <v>26.35</v>
      </c>
      <c r="P374" s="7">
        <f>E374*0.6%</f>
        <v>0.93</v>
      </c>
      <c r="Q374" s="7">
        <v>60</v>
      </c>
      <c r="R374" s="7">
        <f>C374/1000*60</f>
        <v>9.3000000000000007</v>
      </c>
    </row>
    <row r="375" spans="1:18" ht="18">
      <c r="A375" s="36"/>
      <c r="B375" s="212" t="s">
        <v>90</v>
      </c>
      <c r="C375" s="216"/>
      <c r="D375" s="216"/>
      <c r="E375" s="216"/>
      <c r="F375" s="216"/>
      <c r="G375" s="216"/>
      <c r="H375" s="216"/>
      <c r="I375" s="216"/>
      <c r="J375" s="216"/>
      <c r="K375" s="216"/>
      <c r="L375" s="216"/>
      <c r="M375" s="216"/>
      <c r="N375" s="216"/>
      <c r="O375" s="216"/>
      <c r="P375" s="216"/>
      <c r="Q375" s="216"/>
      <c r="R375" s="217"/>
    </row>
    <row r="376" spans="1:18" ht="18">
      <c r="A376" s="36"/>
      <c r="B376" s="31" t="s">
        <v>68</v>
      </c>
      <c r="C376" s="27">
        <v>3</v>
      </c>
      <c r="D376" s="7">
        <v>0</v>
      </c>
      <c r="E376" s="27">
        <f>C376-D376</f>
        <v>3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20</v>
      </c>
      <c r="R376" s="27">
        <f>C376/1000*20</f>
        <v>0.06</v>
      </c>
    </row>
    <row r="377" spans="1:18" ht="18">
      <c r="A377" s="36"/>
      <c r="B377" s="31"/>
      <c r="C377" s="27"/>
      <c r="D377" s="7"/>
      <c r="E377" s="2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27"/>
    </row>
    <row r="378" spans="1:18" ht="23.4">
      <c r="A378" s="36"/>
      <c r="B378" s="25" t="s">
        <v>68</v>
      </c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>
        <f>R376+R374+R372+R370+R366+R364+R361</f>
        <v>61.010000000000005</v>
      </c>
    </row>
    <row r="379" spans="1:18" ht="23.4">
      <c r="A379" s="37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</row>
    <row r="380" spans="1:18" ht="23.4">
      <c r="A380" s="37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</row>
    <row r="381" spans="1:18" ht="23.4">
      <c r="A381" s="37"/>
      <c r="B381" s="38"/>
      <c r="C381" s="38"/>
      <c r="D381" s="38"/>
      <c r="E381" s="38"/>
      <c r="F381" s="38"/>
      <c r="G381" s="38"/>
      <c r="H381" s="38"/>
      <c r="I381" s="38" t="s">
        <v>142</v>
      </c>
      <c r="J381" s="38"/>
      <c r="K381" s="38"/>
      <c r="L381" s="38"/>
      <c r="M381" s="38"/>
      <c r="N381" s="38"/>
      <c r="O381" s="38"/>
      <c r="P381" s="38"/>
      <c r="Q381" s="38"/>
      <c r="R381" s="38"/>
    </row>
    <row r="383" spans="1:18" ht="18">
      <c r="A383" s="36"/>
      <c r="B383" s="135" t="s">
        <v>0</v>
      </c>
      <c r="C383" s="136" t="s">
        <v>17</v>
      </c>
      <c r="D383" s="139" t="s">
        <v>19</v>
      </c>
      <c r="E383" s="139" t="s">
        <v>18</v>
      </c>
      <c r="F383" s="142" t="s">
        <v>1</v>
      </c>
      <c r="G383" s="142" t="s">
        <v>2</v>
      </c>
      <c r="H383" s="142" t="s">
        <v>3</v>
      </c>
      <c r="I383" s="142" t="s">
        <v>4</v>
      </c>
      <c r="J383" s="145" t="s">
        <v>5</v>
      </c>
      <c r="K383" s="145"/>
      <c r="L383" s="145"/>
      <c r="M383" s="145" t="s">
        <v>6</v>
      </c>
      <c r="N383" s="145"/>
      <c r="O383" s="145"/>
      <c r="P383" s="145"/>
      <c r="Q383" s="146" t="s">
        <v>65</v>
      </c>
      <c r="R383" s="218" t="s">
        <v>102</v>
      </c>
    </row>
    <row r="384" spans="1:18" ht="18">
      <c r="A384" s="36"/>
      <c r="B384" s="135"/>
      <c r="C384" s="137"/>
      <c r="D384" s="140"/>
      <c r="E384" s="140"/>
      <c r="F384" s="143"/>
      <c r="G384" s="143"/>
      <c r="H384" s="143"/>
      <c r="I384" s="143"/>
      <c r="J384" s="142" t="s">
        <v>7</v>
      </c>
      <c r="K384" s="152" t="s">
        <v>8</v>
      </c>
      <c r="L384" s="142" t="s">
        <v>9</v>
      </c>
      <c r="M384" s="142" t="s">
        <v>10</v>
      </c>
      <c r="N384" s="142" t="s">
        <v>11</v>
      </c>
      <c r="O384" s="142" t="s">
        <v>12</v>
      </c>
      <c r="P384" s="142" t="s">
        <v>13</v>
      </c>
      <c r="Q384" s="147"/>
      <c r="R384" s="219"/>
    </row>
    <row r="385" spans="1:18" ht="20.399999999999999">
      <c r="A385" s="36"/>
      <c r="B385" s="2"/>
      <c r="C385" s="138"/>
      <c r="D385" s="141"/>
      <c r="E385" s="141"/>
      <c r="F385" s="144"/>
      <c r="G385" s="144"/>
      <c r="H385" s="144"/>
      <c r="I385" s="144"/>
      <c r="J385" s="144"/>
      <c r="K385" s="153"/>
      <c r="L385" s="144"/>
      <c r="M385" s="144"/>
      <c r="N385" s="144"/>
      <c r="O385" s="144"/>
      <c r="P385" s="144"/>
      <c r="Q385" s="148"/>
      <c r="R385" s="220"/>
    </row>
    <row r="386" spans="1:18" ht="20.399999999999999">
      <c r="A386" s="36"/>
      <c r="B386" s="158" t="s">
        <v>115</v>
      </c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60"/>
    </row>
    <row r="387" spans="1:18" ht="18">
      <c r="A387" s="26"/>
      <c r="B387" s="3" t="s">
        <v>22</v>
      </c>
      <c r="C387" s="4">
        <v>50</v>
      </c>
      <c r="D387" s="4">
        <f>C387*0.26</f>
        <v>13</v>
      </c>
      <c r="E387" s="4">
        <f>SUM(C387-D387)</f>
        <v>37</v>
      </c>
      <c r="F387" s="4">
        <f>E387*18.6%</f>
        <v>6.8820000000000006</v>
      </c>
      <c r="G387" s="4">
        <f>E387*16%</f>
        <v>5.92</v>
      </c>
      <c r="H387" s="4">
        <v>0</v>
      </c>
      <c r="I387" s="4">
        <f>E387*218%</f>
        <v>80.660000000000011</v>
      </c>
      <c r="J387" s="4">
        <f>E387*0.06%</f>
        <v>2.2199999999999998E-2</v>
      </c>
      <c r="K387" s="4">
        <v>0</v>
      </c>
      <c r="L387" s="4">
        <v>0</v>
      </c>
      <c r="M387" s="4">
        <f>E387*9%</f>
        <v>3.33</v>
      </c>
      <c r="N387" s="4">
        <f>E387*188%</f>
        <v>69.56</v>
      </c>
      <c r="O387" s="4">
        <f>E387*22%</f>
        <v>8.14</v>
      </c>
      <c r="P387" s="4">
        <f>E387*2.7%</f>
        <v>0.99900000000000011</v>
      </c>
      <c r="Q387" s="4">
        <v>475</v>
      </c>
      <c r="R387" s="4">
        <f>C387/1000*475</f>
        <v>23.75</v>
      </c>
    </row>
    <row r="388" spans="1:18" ht="18">
      <c r="A388" s="26"/>
      <c r="B388" s="3" t="s">
        <v>71</v>
      </c>
      <c r="C388" s="81">
        <v>10</v>
      </c>
      <c r="D388" s="4">
        <f>C388*0.16</f>
        <v>1.6</v>
      </c>
      <c r="E388" s="4">
        <f>C388-D388</f>
        <v>8.4</v>
      </c>
      <c r="F388" s="4">
        <f>E388*1.4%</f>
        <v>0.1176</v>
      </c>
      <c r="G388">
        <v>0</v>
      </c>
      <c r="H388" s="4">
        <f>E388*9.1%</f>
        <v>0.76439999999999997</v>
      </c>
      <c r="I388" s="4">
        <f>E388*41%</f>
        <v>3.444</v>
      </c>
      <c r="J388" s="4">
        <f>E388*0.05%</f>
        <v>4.2000000000000006E-3</v>
      </c>
      <c r="K388" s="4">
        <f>E388*10%</f>
        <v>0.84000000000000008</v>
      </c>
      <c r="L388" s="4">
        <v>0</v>
      </c>
      <c r="M388" s="4">
        <f>E388*31%</f>
        <v>2.6040000000000001</v>
      </c>
      <c r="N388" s="4">
        <f>E388*58%</f>
        <v>4.8719999999999999</v>
      </c>
      <c r="O388" s="4">
        <f>E388*14%</f>
        <v>1.1760000000000002</v>
      </c>
      <c r="P388" s="4">
        <f>E388*0.8%</f>
        <v>6.720000000000001E-2</v>
      </c>
      <c r="Q388" s="4">
        <v>40</v>
      </c>
      <c r="R388" s="4">
        <f>C388/1000*40</f>
        <v>0.4</v>
      </c>
    </row>
    <row r="389" spans="1:18" ht="18">
      <c r="A389" s="33"/>
      <c r="B389" s="3" t="s">
        <v>70</v>
      </c>
      <c r="C389" s="4">
        <v>60</v>
      </c>
      <c r="D389" s="4">
        <f>C389*25%</f>
        <v>15</v>
      </c>
      <c r="E389" s="4">
        <f>C389-D389</f>
        <v>45</v>
      </c>
      <c r="F389" s="4">
        <f>E389*2%</f>
        <v>0.9</v>
      </c>
      <c r="G389" s="4">
        <f>E389*0.4%</f>
        <v>0.18</v>
      </c>
      <c r="H389" s="4">
        <f>E389*16.3%</f>
        <v>7.335</v>
      </c>
      <c r="I389" s="4">
        <f>E389*80%</f>
        <v>36</v>
      </c>
      <c r="J389" s="4">
        <f>E389*0.12%</f>
        <v>5.3999999999999992E-2</v>
      </c>
      <c r="K389" s="4">
        <f>E389*20%</f>
        <v>9</v>
      </c>
      <c r="L389" s="4">
        <v>0</v>
      </c>
      <c r="M389" s="4">
        <f>E389*10%</f>
        <v>4.5</v>
      </c>
      <c r="N389" s="4">
        <f>E389*58%</f>
        <v>26.099999999999998</v>
      </c>
      <c r="O389" s="4">
        <f>E389*23%</f>
        <v>10.35</v>
      </c>
      <c r="P389" s="4">
        <f>E389*0.9%</f>
        <v>0.40500000000000003</v>
      </c>
      <c r="Q389" s="4">
        <v>57</v>
      </c>
      <c r="R389" s="4">
        <f>C389/1000*57</f>
        <v>3.42</v>
      </c>
    </row>
    <row r="390" spans="1:18" ht="18">
      <c r="A390" s="26"/>
      <c r="B390" s="3" t="s">
        <v>21</v>
      </c>
      <c r="C390" s="4">
        <v>10</v>
      </c>
      <c r="D390" s="4">
        <v>0</v>
      </c>
      <c r="E390" s="4">
        <f>C390-D390</f>
        <v>10</v>
      </c>
      <c r="F390" s="4">
        <f>E390*0.5%</f>
        <v>0.05</v>
      </c>
      <c r="G390" s="4">
        <f>E390*82.5%</f>
        <v>8.25</v>
      </c>
      <c r="H390" s="4">
        <f>E390*0.8%</f>
        <v>0.08</v>
      </c>
      <c r="I390" s="4">
        <f>E390*748%</f>
        <v>74.800000000000011</v>
      </c>
      <c r="J390" s="4">
        <v>0</v>
      </c>
      <c r="K390" s="4">
        <v>0</v>
      </c>
      <c r="L390" s="4">
        <f>E390*0.59%</f>
        <v>5.8999999999999997E-2</v>
      </c>
      <c r="M390" s="4">
        <f>E390*12%</f>
        <v>1.2</v>
      </c>
      <c r="N390" s="4">
        <f>E390*19%</f>
        <v>1.9</v>
      </c>
      <c r="O390" s="4">
        <f>E390*0.4%</f>
        <v>0.04</v>
      </c>
      <c r="P390" s="4">
        <f>E390*0.2%</f>
        <v>0.02</v>
      </c>
      <c r="Q390" s="4">
        <v>480</v>
      </c>
      <c r="R390" s="24">
        <f>C390/1000*480</f>
        <v>4.8</v>
      </c>
    </row>
    <row r="391" spans="1:18" ht="18">
      <c r="A391" s="33"/>
      <c r="B391" s="30" t="s">
        <v>68</v>
      </c>
      <c r="C391" s="5">
        <f t="shared" ref="C391:P391" si="50">SUM(C389:C390)</f>
        <v>70</v>
      </c>
      <c r="D391" s="5">
        <f t="shared" si="50"/>
        <v>15</v>
      </c>
      <c r="E391" s="5">
        <f t="shared" si="50"/>
        <v>55</v>
      </c>
      <c r="F391" s="5">
        <f t="shared" si="50"/>
        <v>0.95000000000000007</v>
      </c>
      <c r="G391" s="5">
        <f t="shared" si="50"/>
        <v>8.43</v>
      </c>
      <c r="H391" s="5">
        <f t="shared" si="50"/>
        <v>7.415</v>
      </c>
      <c r="I391" s="5">
        <f t="shared" si="50"/>
        <v>110.80000000000001</v>
      </c>
      <c r="J391" s="5">
        <f t="shared" si="50"/>
        <v>5.3999999999999992E-2</v>
      </c>
      <c r="K391" s="5">
        <f t="shared" si="50"/>
        <v>9</v>
      </c>
      <c r="L391" s="5">
        <f t="shared" si="50"/>
        <v>5.8999999999999997E-2</v>
      </c>
      <c r="M391" s="5">
        <f t="shared" si="50"/>
        <v>5.7</v>
      </c>
      <c r="N391" s="5">
        <f t="shared" si="50"/>
        <v>27.999999999999996</v>
      </c>
      <c r="O391" s="5">
        <f t="shared" si="50"/>
        <v>10.389999999999999</v>
      </c>
      <c r="P391" s="5">
        <f t="shared" si="50"/>
        <v>0.42500000000000004</v>
      </c>
      <c r="Q391" s="5"/>
      <c r="R391" s="5">
        <f>SUM(R387:R390)</f>
        <v>32.369999999999997</v>
      </c>
    </row>
    <row r="392" spans="1:18" ht="21">
      <c r="A392" s="33"/>
      <c r="B392" s="203" t="s">
        <v>116</v>
      </c>
      <c r="C392" s="204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4"/>
      <c r="Q392" s="204"/>
      <c r="R392" s="205"/>
    </row>
    <row r="393" spans="1:18" ht="18">
      <c r="A393" s="26"/>
      <c r="B393" s="3" t="s">
        <v>71</v>
      </c>
      <c r="C393" s="81">
        <v>20</v>
      </c>
      <c r="D393" s="4">
        <f>C393*0.16</f>
        <v>3.2</v>
      </c>
      <c r="E393" s="4">
        <f>C393-D393</f>
        <v>16.8</v>
      </c>
      <c r="F393" s="4">
        <f>E393*1.4%</f>
        <v>0.23519999999999999</v>
      </c>
      <c r="G393">
        <v>0</v>
      </c>
      <c r="H393" s="4">
        <f>E393*9.1%</f>
        <v>1.5287999999999999</v>
      </c>
      <c r="I393" s="4">
        <f>E393*41%</f>
        <v>6.8879999999999999</v>
      </c>
      <c r="J393" s="4">
        <f>E393*0.05%</f>
        <v>8.4000000000000012E-3</v>
      </c>
      <c r="K393" s="4">
        <f>E393*10%</f>
        <v>1.6800000000000002</v>
      </c>
      <c r="L393" s="4">
        <v>0</v>
      </c>
      <c r="M393" s="4">
        <f>E393*31%</f>
        <v>5.2080000000000002</v>
      </c>
      <c r="N393" s="4">
        <f>E393*58%</f>
        <v>9.7439999999999998</v>
      </c>
      <c r="O393" s="4">
        <f>E393*14%</f>
        <v>2.3520000000000003</v>
      </c>
      <c r="P393" s="4">
        <f>E393*0.8%</f>
        <v>0.13440000000000002</v>
      </c>
      <c r="Q393" s="4">
        <v>40</v>
      </c>
      <c r="R393" s="4">
        <f>C393/1000*40</f>
        <v>0.8</v>
      </c>
    </row>
    <row r="394" spans="1:18" ht="18">
      <c r="A394" s="33"/>
      <c r="B394" s="3" t="s">
        <v>25</v>
      </c>
      <c r="C394" s="81">
        <v>5</v>
      </c>
      <c r="D394" s="4">
        <v>0</v>
      </c>
      <c r="E394" s="4">
        <f>SUM(C394:D394)</f>
        <v>5</v>
      </c>
      <c r="F394" s="4">
        <f>E394*1%</f>
        <v>0.05</v>
      </c>
      <c r="G394" s="4">
        <v>0</v>
      </c>
      <c r="H394" s="4">
        <f>E394*3.5%</f>
        <v>0.17500000000000002</v>
      </c>
      <c r="I394" s="4">
        <f>E394*19%</f>
        <v>0.95</v>
      </c>
      <c r="J394" s="4">
        <f>E394*0.03%</f>
        <v>1.4999999999999998E-3</v>
      </c>
      <c r="K394" s="4">
        <f>E394*10%</f>
        <v>0.5</v>
      </c>
      <c r="L394" s="4">
        <v>0</v>
      </c>
      <c r="M394" s="4">
        <f>C394*7%</f>
        <v>0.35000000000000003</v>
      </c>
      <c r="N394" s="4">
        <f>E394*32%</f>
        <v>1.6</v>
      </c>
      <c r="O394" s="4">
        <f>E394*12%</f>
        <v>0.6</v>
      </c>
      <c r="P394" s="4">
        <f>E394*0.7%</f>
        <v>3.4999999999999996E-2</v>
      </c>
      <c r="Q394" s="4">
        <v>150</v>
      </c>
      <c r="R394" s="4">
        <f>C394/1000*150</f>
        <v>0.75</v>
      </c>
    </row>
    <row r="395" spans="1:18" ht="18">
      <c r="A395" s="33"/>
      <c r="B395" s="1" t="s">
        <v>14</v>
      </c>
      <c r="C395" s="81">
        <v>28</v>
      </c>
      <c r="D395" s="4">
        <f>C395*0.2</f>
        <v>5.6000000000000005</v>
      </c>
      <c r="E395" s="4">
        <f>C395-D395</f>
        <v>22.4</v>
      </c>
      <c r="F395" s="4">
        <f>E395*1.3%</f>
        <v>0.29120000000000001</v>
      </c>
      <c r="G395" s="6">
        <f>E395*0.001</f>
        <v>2.24E-2</v>
      </c>
      <c r="H395" s="4">
        <f>E395*0.072</f>
        <v>1.6127999999999998</v>
      </c>
      <c r="I395" s="4">
        <f>E395*0.3</f>
        <v>6.72</v>
      </c>
      <c r="J395" s="4">
        <f>E395*0.06%</f>
        <v>1.3439999999999999E-2</v>
      </c>
      <c r="K395" s="4">
        <f>E395*5%</f>
        <v>1.1199999999999999</v>
      </c>
      <c r="L395" s="4">
        <v>0</v>
      </c>
      <c r="M395" s="4">
        <f>E395*51%</f>
        <v>11.423999999999999</v>
      </c>
      <c r="N395" s="4">
        <f>E395*55%</f>
        <v>12.32</v>
      </c>
      <c r="O395" s="4">
        <f>E395*38%</f>
        <v>8.5119999999999987</v>
      </c>
      <c r="P395" s="4">
        <f>E395*0.7%</f>
        <v>0.15679999999999997</v>
      </c>
      <c r="Q395" s="4">
        <v>60</v>
      </c>
      <c r="R395" s="3">
        <f>C395/1000*60</f>
        <v>1.68</v>
      </c>
    </row>
    <row r="396" spans="1:18" ht="18">
      <c r="A396" s="33"/>
      <c r="B396" s="1" t="s">
        <v>15</v>
      </c>
      <c r="C396" s="81">
        <v>50</v>
      </c>
      <c r="D396" s="4">
        <f>C396*0.2</f>
        <v>10</v>
      </c>
      <c r="E396" s="4">
        <f>C396-D396</f>
        <v>40</v>
      </c>
      <c r="F396" s="4">
        <f>E396*0.018</f>
        <v>0.72</v>
      </c>
      <c r="G396" s="6">
        <f>E396*0.001</f>
        <v>0.04</v>
      </c>
      <c r="H396" s="4">
        <f>E396*0.047</f>
        <v>1.88</v>
      </c>
      <c r="I396" s="4">
        <f>E396*0.27</f>
        <v>10.8</v>
      </c>
      <c r="J396" s="4">
        <f>E396*0.03%</f>
        <v>1.1999999999999999E-2</v>
      </c>
      <c r="K396" s="4">
        <f>E396*45%</f>
        <v>18</v>
      </c>
      <c r="L396" s="4">
        <v>0</v>
      </c>
      <c r="M396" s="4">
        <f>E396*48%</f>
        <v>19.2</v>
      </c>
      <c r="N396" s="4">
        <f>E396*31%</f>
        <v>12.4</v>
      </c>
      <c r="O396" s="4">
        <f>E396*16%</f>
        <v>6.4</v>
      </c>
      <c r="P396" s="4">
        <f>E396*0.6%</f>
        <v>0.24</v>
      </c>
      <c r="Q396" s="4">
        <v>50</v>
      </c>
      <c r="R396" s="3">
        <f>C396/1000*50</f>
        <v>2.5</v>
      </c>
    </row>
    <row r="397" spans="1:18" ht="18">
      <c r="A397" s="26"/>
      <c r="B397" s="1" t="s">
        <v>69</v>
      </c>
      <c r="C397" s="81">
        <v>50</v>
      </c>
      <c r="D397" s="4">
        <f>C397*0.2</f>
        <v>10</v>
      </c>
      <c r="E397" s="4">
        <f>C397-D397</f>
        <v>40</v>
      </c>
      <c r="F397" s="4">
        <f>E397*0.015</f>
        <v>0.6</v>
      </c>
      <c r="G397" s="4">
        <f>E397*0.001</f>
        <v>0.04</v>
      </c>
      <c r="H397" s="4">
        <f>E397*0.091</f>
        <v>3.6399999999999997</v>
      </c>
      <c r="I397" s="4">
        <f>E397*0.42</f>
        <v>16.8</v>
      </c>
      <c r="J397" s="4">
        <f>E397*0.02%</f>
        <v>8.0000000000000002E-3</v>
      </c>
      <c r="K397" s="4">
        <f>E397*10%</f>
        <v>4</v>
      </c>
      <c r="L397" s="4">
        <v>0</v>
      </c>
      <c r="M397" s="4">
        <f>E397*37%</f>
        <v>14.8</v>
      </c>
      <c r="N397" s="4">
        <f>E397*43%</f>
        <v>17.2</v>
      </c>
      <c r="O397" s="4">
        <f>E397*22%</f>
        <v>8.8000000000000007</v>
      </c>
      <c r="P397" s="4">
        <f>E397*1.4%</f>
        <v>0.55999999999999994</v>
      </c>
      <c r="Q397" s="4">
        <v>60</v>
      </c>
      <c r="R397" s="4">
        <f>C397/1000*60</f>
        <v>3</v>
      </c>
    </row>
    <row r="398" spans="1:18" ht="18">
      <c r="A398" s="33"/>
      <c r="B398" s="1" t="s">
        <v>16</v>
      </c>
      <c r="C398" s="81">
        <v>10</v>
      </c>
      <c r="D398" s="4">
        <v>0</v>
      </c>
      <c r="E398" s="4">
        <f>C398-D398</f>
        <v>10</v>
      </c>
      <c r="F398" s="4">
        <v>0</v>
      </c>
      <c r="G398" s="6">
        <f>E398*0.999</f>
        <v>9.99</v>
      </c>
      <c r="H398" s="4">
        <v>0</v>
      </c>
      <c r="I398" s="4">
        <f>E398*8.99</f>
        <v>89.9</v>
      </c>
      <c r="J398" s="4">
        <f>E398*0.06%</f>
        <v>5.9999999999999993E-3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150</v>
      </c>
      <c r="R398" s="4">
        <f>C398/1000*150</f>
        <v>1.5</v>
      </c>
    </row>
    <row r="399" spans="1:18" ht="18">
      <c r="A399" s="33"/>
      <c r="B399" s="3" t="s">
        <v>70</v>
      </c>
      <c r="C399" s="81">
        <v>40</v>
      </c>
      <c r="D399" s="4">
        <f>C399*20%</f>
        <v>8</v>
      </c>
      <c r="E399" s="4">
        <f>C399-D399</f>
        <v>32</v>
      </c>
      <c r="F399" s="4">
        <f>E399*2%</f>
        <v>0.64</v>
      </c>
      <c r="G399" s="4">
        <f>E399*0.4%</f>
        <v>0.128</v>
      </c>
      <c r="H399" s="4">
        <f>E399*16.3%</f>
        <v>5.2160000000000002</v>
      </c>
      <c r="I399" s="4">
        <f>E399*80%</f>
        <v>25.6</v>
      </c>
      <c r="J399" s="4">
        <f>E399*0.12%</f>
        <v>3.8399999999999997E-2</v>
      </c>
      <c r="K399" s="4">
        <f>E399*20%</f>
        <v>6.4</v>
      </c>
      <c r="L399" s="4">
        <v>0</v>
      </c>
      <c r="M399" s="4">
        <f>E399*10%</f>
        <v>3.2</v>
      </c>
      <c r="N399" s="4">
        <f>E399*58%</f>
        <v>18.559999999999999</v>
      </c>
      <c r="O399" s="4">
        <f>E399*23%</f>
        <v>7.36</v>
      </c>
      <c r="P399" s="4">
        <f>E399*0.9%</f>
        <v>0.28800000000000003</v>
      </c>
      <c r="Q399" s="4">
        <v>57</v>
      </c>
      <c r="R399" s="4">
        <f>C399/1000*57</f>
        <v>2.2800000000000002</v>
      </c>
    </row>
    <row r="400" spans="1:18" ht="18">
      <c r="A400" s="33"/>
      <c r="B400" s="26" t="s">
        <v>68</v>
      </c>
      <c r="C400" s="82">
        <f>C399+C398+C397+C396+C395+C394</f>
        <v>183</v>
      </c>
      <c r="D400" s="7">
        <f>SUM(D397:D399)</f>
        <v>18</v>
      </c>
      <c r="E400" s="7">
        <v>250</v>
      </c>
      <c r="F400" s="7">
        <f t="shared" ref="F400:P400" si="51">SUM(F397:F399)</f>
        <v>1.24</v>
      </c>
      <c r="G400" s="7">
        <f t="shared" si="51"/>
        <v>10.157999999999999</v>
      </c>
      <c r="H400" s="7">
        <f t="shared" si="51"/>
        <v>8.8559999999999999</v>
      </c>
      <c r="I400" s="7">
        <f t="shared" si="51"/>
        <v>132.30000000000001</v>
      </c>
      <c r="J400" s="7">
        <f t="shared" si="51"/>
        <v>5.2399999999999995E-2</v>
      </c>
      <c r="K400" s="7">
        <f t="shared" si="51"/>
        <v>10.4</v>
      </c>
      <c r="L400" s="7">
        <f t="shared" si="51"/>
        <v>0</v>
      </c>
      <c r="M400" s="7">
        <f t="shared" si="51"/>
        <v>18</v>
      </c>
      <c r="N400" s="7">
        <f t="shared" si="51"/>
        <v>35.76</v>
      </c>
      <c r="O400" s="7">
        <f t="shared" si="51"/>
        <v>16.16</v>
      </c>
      <c r="P400" s="7">
        <f t="shared" si="51"/>
        <v>0.84799999999999998</v>
      </c>
      <c r="Q400" s="7"/>
      <c r="R400" s="7">
        <f>SUM(R393:R399)</f>
        <v>12.510000000000002</v>
      </c>
    </row>
    <row r="401" spans="1:18" ht="18">
      <c r="A401" s="33"/>
      <c r="B401" s="206" t="s">
        <v>92</v>
      </c>
      <c r="C401" s="207"/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6"/>
    </row>
    <row r="402" spans="1:18" ht="18">
      <c r="A402" s="33"/>
      <c r="B402" s="31" t="s">
        <v>68</v>
      </c>
      <c r="C402" s="7">
        <v>50</v>
      </c>
      <c r="D402" s="7">
        <v>0</v>
      </c>
      <c r="E402" s="7">
        <v>50</v>
      </c>
      <c r="F402" s="7">
        <f>E402*7.9%</f>
        <v>3.95</v>
      </c>
      <c r="G402" s="7">
        <f>E402*1%</f>
        <v>0.5</v>
      </c>
      <c r="H402" s="7">
        <f>E402*48.1%</f>
        <v>24.05</v>
      </c>
      <c r="I402" s="7">
        <f>E402*239%</f>
        <v>119.5</v>
      </c>
      <c r="J402" s="7">
        <f>E402*0.16%</f>
        <v>0.08</v>
      </c>
      <c r="K402" s="7">
        <v>0</v>
      </c>
      <c r="L402" s="7">
        <v>0</v>
      </c>
      <c r="M402" s="7">
        <f>E402*23%</f>
        <v>11.5</v>
      </c>
      <c r="N402" s="7">
        <f>E402*87%</f>
        <v>43.5</v>
      </c>
      <c r="O402" s="7">
        <f>E402*33%</f>
        <v>16.5</v>
      </c>
      <c r="P402" s="7">
        <f>E402*2%</f>
        <v>1</v>
      </c>
      <c r="Q402" s="7">
        <v>50</v>
      </c>
      <c r="R402" s="7">
        <f>C402/1000*50</f>
        <v>2.5</v>
      </c>
    </row>
    <row r="403" spans="1:18" ht="21">
      <c r="A403" s="75"/>
      <c r="B403" s="208" t="s">
        <v>93</v>
      </c>
      <c r="C403" s="209"/>
      <c r="D403" s="209"/>
      <c r="E403" s="209"/>
      <c r="F403" s="209"/>
      <c r="G403" s="209"/>
      <c r="H403" s="209"/>
      <c r="I403" s="209"/>
      <c r="J403" s="209"/>
      <c r="K403" s="209"/>
      <c r="L403" s="209"/>
      <c r="M403" s="209"/>
      <c r="N403" s="209"/>
      <c r="O403" s="209"/>
      <c r="P403" s="209"/>
      <c r="Q403" s="209"/>
      <c r="R403" s="210"/>
    </row>
    <row r="404" spans="1:18" ht="18">
      <c r="A404" s="33"/>
      <c r="B404" s="4" t="s">
        <v>51</v>
      </c>
      <c r="C404" s="4">
        <v>1</v>
      </c>
      <c r="D404" s="4">
        <v>0</v>
      </c>
      <c r="E404" s="4">
        <f>C404-D404</f>
        <v>1</v>
      </c>
      <c r="F404" s="4">
        <f>E404*21.74%</f>
        <v>0.21739999999999998</v>
      </c>
      <c r="G404" s="4">
        <f>E404*7.61%</f>
        <v>7.6100000000000001E-2</v>
      </c>
      <c r="H404" s="4">
        <f>E404*2.86%</f>
        <v>2.86E-2</v>
      </c>
      <c r="I404" s="4">
        <f>E404*9.18%</f>
        <v>9.1799999999999993E-2</v>
      </c>
      <c r="J404" s="4">
        <f>E404*4.7%</f>
        <v>4.7E-2</v>
      </c>
      <c r="K404" s="4">
        <f>E404*11%</f>
        <v>0.11</v>
      </c>
      <c r="L404" s="4">
        <f>E404*5.6%</f>
        <v>5.5999999999999994E-2</v>
      </c>
      <c r="M404" s="4">
        <f>E404*50%</f>
        <v>0.5</v>
      </c>
      <c r="N404" s="4">
        <f>E404*10%</f>
        <v>0.1</v>
      </c>
      <c r="O404" s="4">
        <f>E404*110%</f>
        <v>1.1000000000000001</v>
      </c>
      <c r="P404" s="4">
        <f>E404*456%</f>
        <v>4.5599999999999996</v>
      </c>
      <c r="Q404" s="4">
        <v>950</v>
      </c>
      <c r="R404" s="4">
        <f>C404/1000*950</f>
        <v>0.95000000000000007</v>
      </c>
    </row>
    <row r="405" spans="1:18" ht="18">
      <c r="A405" s="36"/>
      <c r="B405" s="4" t="s">
        <v>67</v>
      </c>
      <c r="C405" s="4">
        <v>15</v>
      </c>
      <c r="D405" s="4">
        <v>0</v>
      </c>
      <c r="E405" s="4">
        <v>15</v>
      </c>
      <c r="F405" s="4">
        <v>0</v>
      </c>
      <c r="G405" s="4">
        <v>0</v>
      </c>
      <c r="H405" s="4">
        <f>E405*99.8%</f>
        <v>14.97</v>
      </c>
      <c r="I405" s="4">
        <f>E405*379%</f>
        <v>56.85</v>
      </c>
      <c r="J405" s="4">
        <v>0</v>
      </c>
      <c r="K405" s="4">
        <v>0</v>
      </c>
      <c r="L405" s="4">
        <v>0</v>
      </c>
      <c r="M405" s="4">
        <f>E405*2%</f>
        <v>0.3</v>
      </c>
      <c r="N405" s="4">
        <v>0</v>
      </c>
      <c r="O405" s="4">
        <v>0</v>
      </c>
      <c r="P405" s="4">
        <f>E405*0.3%</f>
        <v>4.4999999999999998E-2</v>
      </c>
      <c r="Q405" s="4">
        <v>60</v>
      </c>
      <c r="R405" s="4">
        <f>C405/1000*60</f>
        <v>0.89999999999999991</v>
      </c>
    </row>
    <row r="406" spans="1:18" ht="18">
      <c r="A406" s="36"/>
      <c r="B406" s="31" t="s">
        <v>68</v>
      </c>
      <c r="C406" s="7">
        <f>SUM(C404:C405)</f>
        <v>16</v>
      </c>
      <c r="D406" s="7">
        <f>SUM(D405:D405)</f>
        <v>0</v>
      </c>
      <c r="E406" s="7">
        <v>150</v>
      </c>
      <c r="F406" s="7">
        <f t="shared" ref="F406:P406" si="52">SUM(F405:F405)</f>
        <v>0</v>
      </c>
      <c r="G406" s="7">
        <f t="shared" si="52"/>
        <v>0</v>
      </c>
      <c r="H406" s="7">
        <f t="shared" si="52"/>
        <v>14.97</v>
      </c>
      <c r="I406" s="7">
        <f t="shared" si="52"/>
        <v>56.85</v>
      </c>
      <c r="J406" s="7">
        <f t="shared" si="52"/>
        <v>0</v>
      </c>
      <c r="K406" s="7">
        <f t="shared" si="52"/>
        <v>0</v>
      </c>
      <c r="L406" s="7">
        <f t="shared" si="52"/>
        <v>0</v>
      </c>
      <c r="M406" s="7">
        <f t="shared" si="52"/>
        <v>0.3</v>
      </c>
      <c r="N406" s="7">
        <f t="shared" si="52"/>
        <v>0</v>
      </c>
      <c r="O406" s="7">
        <f t="shared" si="52"/>
        <v>0</v>
      </c>
      <c r="P406" s="7">
        <f t="shared" si="52"/>
        <v>4.4999999999999998E-2</v>
      </c>
      <c r="Q406" s="7"/>
      <c r="R406" s="7">
        <f>SUM(R404:R405)</f>
        <v>1.85</v>
      </c>
    </row>
    <row r="407" spans="1:18" ht="18">
      <c r="A407" s="33"/>
      <c r="B407" s="211" t="s">
        <v>100</v>
      </c>
      <c r="C407" s="131"/>
      <c r="D407" s="131"/>
      <c r="E407" s="131"/>
      <c r="F407" s="131"/>
      <c r="G407" s="131"/>
      <c r="H407" s="131"/>
      <c r="I407" s="131"/>
      <c r="J407" s="131"/>
      <c r="K407" s="131"/>
      <c r="L407" s="131"/>
      <c r="M407" s="131"/>
      <c r="N407" s="131"/>
      <c r="O407" s="131"/>
      <c r="P407" s="131"/>
      <c r="Q407" s="131"/>
      <c r="R407" s="132"/>
    </row>
    <row r="408" spans="1:18" ht="18">
      <c r="A408" s="33"/>
      <c r="B408" s="31" t="s">
        <v>68</v>
      </c>
      <c r="C408" s="7">
        <v>150</v>
      </c>
      <c r="D408" s="7">
        <v>0</v>
      </c>
      <c r="E408" s="7">
        <f>C408-D408</f>
        <v>150</v>
      </c>
      <c r="F408" s="7">
        <f>E408*0.4%</f>
        <v>0.6</v>
      </c>
      <c r="G408" s="7">
        <f>E408*0.4%</f>
        <v>0.6</v>
      </c>
      <c r="H408" s="7">
        <f>E408*9.8%</f>
        <v>14.700000000000001</v>
      </c>
      <c r="I408" s="7">
        <f>E408*45%</f>
        <v>67.5</v>
      </c>
      <c r="J408" s="7">
        <f>E408*0.03%</f>
        <v>4.4999999999999998E-2</v>
      </c>
      <c r="K408" s="7">
        <f>E408*13%</f>
        <v>19.5</v>
      </c>
      <c r="L408" s="7">
        <v>0</v>
      </c>
      <c r="M408" s="7">
        <f>E408*16%</f>
        <v>24</v>
      </c>
      <c r="N408" s="7">
        <f>E408*11%</f>
        <v>16.5</v>
      </c>
      <c r="O408" s="7">
        <f>E408*9%</f>
        <v>13.5</v>
      </c>
      <c r="P408" s="7">
        <f>E408*2.2%</f>
        <v>3.3000000000000003</v>
      </c>
      <c r="Q408" s="7">
        <v>78</v>
      </c>
      <c r="R408" s="7">
        <f>C408/1000*78</f>
        <v>11.7</v>
      </c>
    </row>
    <row r="409" spans="1:18" ht="18">
      <c r="A409" s="36"/>
      <c r="B409" s="212" t="s">
        <v>94</v>
      </c>
      <c r="C409" s="122"/>
      <c r="D409" s="122"/>
      <c r="E409" s="122"/>
      <c r="F409" s="122"/>
      <c r="G409" s="122"/>
      <c r="H409" s="122"/>
      <c r="I409" s="122"/>
      <c r="J409" s="122"/>
      <c r="K409" s="122"/>
      <c r="L409" s="122"/>
      <c r="M409" s="122"/>
      <c r="N409" s="122"/>
      <c r="O409" s="122"/>
      <c r="P409" s="122"/>
      <c r="Q409" s="122"/>
      <c r="R409" s="123"/>
    </row>
    <row r="410" spans="1:18" ht="18">
      <c r="A410" s="36"/>
      <c r="B410" s="31" t="s">
        <v>68</v>
      </c>
      <c r="C410" s="27">
        <v>3</v>
      </c>
      <c r="D410" s="7">
        <v>0</v>
      </c>
      <c r="E410" s="27">
        <f>C410-D410</f>
        <v>3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20</v>
      </c>
      <c r="R410" s="27">
        <f>C410/1000*20</f>
        <v>0.06</v>
      </c>
    </row>
    <row r="411" spans="1:18" ht="18">
      <c r="A411" s="36"/>
      <c r="B411" s="31"/>
      <c r="C411" s="27"/>
      <c r="D411" s="7"/>
      <c r="E411" s="2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27"/>
    </row>
    <row r="412" spans="1:18" ht="23.4">
      <c r="A412" s="36"/>
      <c r="B412" s="25" t="s">
        <v>68</v>
      </c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>
        <f>R410+R408+R406+R402+R400+R391</f>
        <v>60.989999999999995</v>
      </c>
    </row>
    <row r="413" spans="1:18" ht="23.4">
      <c r="A413" s="37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</row>
    <row r="414" spans="1:18" ht="23.4">
      <c r="A414" s="37"/>
      <c r="B414" s="38"/>
      <c r="C414" s="38"/>
      <c r="D414" s="38"/>
      <c r="E414" s="38"/>
      <c r="F414" s="38"/>
      <c r="G414" s="38"/>
      <c r="H414" s="38" t="s">
        <v>145</v>
      </c>
      <c r="I414" s="38"/>
      <c r="J414" s="38"/>
      <c r="K414" s="38"/>
      <c r="L414" s="38"/>
      <c r="M414" s="38"/>
      <c r="N414" s="38"/>
      <c r="O414" s="38"/>
      <c r="P414" s="38"/>
      <c r="Q414" s="38"/>
      <c r="R414" s="38"/>
    </row>
    <row r="416" spans="1:18" ht="18">
      <c r="A416" s="36"/>
      <c r="B416" s="135" t="s">
        <v>0</v>
      </c>
      <c r="C416" s="136" t="s">
        <v>17</v>
      </c>
      <c r="D416" s="139" t="s">
        <v>19</v>
      </c>
      <c r="E416" s="139" t="s">
        <v>18</v>
      </c>
      <c r="F416" s="142" t="s">
        <v>1</v>
      </c>
      <c r="G416" s="142" t="s">
        <v>2</v>
      </c>
      <c r="H416" s="142" t="s">
        <v>3</v>
      </c>
      <c r="I416" s="142" t="s">
        <v>4</v>
      </c>
      <c r="J416" s="145" t="s">
        <v>5</v>
      </c>
      <c r="K416" s="145"/>
      <c r="L416" s="145"/>
      <c r="M416" s="145" t="s">
        <v>6</v>
      </c>
      <c r="N416" s="145"/>
      <c r="O416" s="145"/>
      <c r="P416" s="145"/>
      <c r="Q416" s="146" t="s">
        <v>65</v>
      </c>
      <c r="R416" s="149" t="s">
        <v>102</v>
      </c>
    </row>
    <row r="417" spans="1:18" ht="18">
      <c r="A417" s="36"/>
      <c r="B417" s="135"/>
      <c r="C417" s="137"/>
      <c r="D417" s="140"/>
      <c r="E417" s="140"/>
      <c r="F417" s="143"/>
      <c r="G417" s="143"/>
      <c r="H417" s="143"/>
      <c r="I417" s="143"/>
      <c r="J417" s="142" t="s">
        <v>7</v>
      </c>
      <c r="K417" s="152" t="s">
        <v>8</v>
      </c>
      <c r="L417" s="142" t="s">
        <v>9</v>
      </c>
      <c r="M417" s="142" t="s">
        <v>10</v>
      </c>
      <c r="N417" s="142" t="s">
        <v>11</v>
      </c>
      <c r="O417" s="142" t="s">
        <v>12</v>
      </c>
      <c r="P417" s="142" t="s">
        <v>13</v>
      </c>
      <c r="Q417" s="147"/>
      <c r="R417" s="150"/>
    </row>
    <row r="418" spans="1:18" ht="20.399999999999999">
      <c r="A418" s="36"/>
      <c r="B418" s="2"/>
      <c r="C418" s="138"/>
      <c r="D418" s="141"/>
      <c r="E418" s="141"/>
      <c r="F418" s="144"/>
      <c r="G418" s="144"/>
      <c r="H418" s="144"/>
      <c r="I418" s="144"/>
      <c r="J418" s="144"/>
      <c r="K418" s="153"/>
      <c r="L418" s="144"/>
      <c r="M418" s="144"/>
      <c r="N418" s="144"/>
      <c r="O418" s="144"/>
      <c r="P418" s="144"/>
      <c r="Q418" s="148"/>
      <c r="R418" s="151"/>
    </row>
    <row r="419" spans="1:18" ht="21">
      <c r="A419" s="127" t="s">
        <v>91</v>
      </c>
      <c r="B419" s="128"/>
      <c r="C419" s="128"/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9"/>
    </row>
    <row r="420" spans="1:18" ht="18">
      <c r="A420" s="36"/>
      <c r="B420" s="3" t="s">
        <v>70</v>
      </c>
      <c r="C420" s="4">
        <v>160</v>
      </c>
      <c r="D420" s="4">
        <f>C420*0.25</f>
        <v>40</v>
      </c>
      <c r="E420" s="4">
        <f>C420-D420</f>
        <v>120</v>
      </c>
      <c r="F420" s="4">
        <f>E420*2%</f>
        <v>2.4</v>
      </c>
      <c r="G420" s="4">
        <f>E420*0.4%</f>
        <v>0.48</v>
      </c>
      <c r="H420" s="4">
        <f>E420*16.3%</f>
        <v>19.560000000000002</v>
      </c>
      <c r="I420" s="4">
        <f>E420*80%</f>
        <v>96</v>
      </c>
      <c r="J420" s="4">
        <f>E420*0.12%</f>
        <v>0.14399999999999999</v>
      </c>
      <c r="K420" s="4">
        <f>E420*20%</f>
        <v>24</v>
      </c>
      <c r="L420" s="4">
        <v>0</v>
      </c>
      <c r="M420" s="4">
        <f>E420*10%</f>
        <v>12</v>
      </c>
      <c r="N420" s="4">
        <f>E420*58%</f>
        <v>69.599999999999994</v>
      </c>
      <c r="O420" s="4">
        <f>E420*23%</f>
        <v>27.6</v>
      </c>
      <c r="P420" s="4">
        <f>E420*0.9%</f>
        <v>1.08</v>
      </c>
      <c r="Q420" s="4">
        <v>57</v>
      </c>
      <c r="R420" s="4">
        <f>C420/1000*57</f>
        <v>9.120000000000001</v>
      </c>
    </row>
    <row r="421" spans="1:18" ht="18">
      <c r="A421" s="36"/>
      <c r="B421" s="3" t="s">
        <v>21</v>
      </c>
      <c r="C421" s="4">
        <v>15</v>
      </c>
      <c r="D421" s="4">
        <v>0</v>
      </c>
      <c r="E421" s="4">
        <f>C421-D421</f>
        <v>15</v>
      </c>
      <c r="F421" s="4">
        <f>E421*0.5%</f>
        <v>7.4999999999999997E-2</v>
      </c>
      <c r="G421" s="4">
        <f>E421*82.5%</f>
        <v>12.375</v>
      </c>
      <c r="H421" s="4">
        <f>E421*0.8%</f>
        <v>0.12</v>
      </c>
      <c r="I421" s="4">
        <f>E421*748%</f>
        <v>112.2</v>
      </c>
      <c r="J421" s="4">
        <v>0</v>
      </c>
      <c r="K421" s="4">
        <v>0</v>
      </c>
      <c r="L421" s="4">
        <f>E421*0.59%</f>
        <v>8.8499999999999995E-2</v>
      </c>
      <c r="M421" s="4">
        <f>E421*12%</f>
        <v>1.7999999999999998</v>
      </c>
      <c r="N421" s="4">
        <f>E421*19%</f>
        <v>2.85</v>
      </c>
      <c r="O421" s="4">
        <f>E421*0.4%</f>
        <v>0.06</v>
      </c>
      <c r="P421" s="4">
        <f>E421*0.2%</f>
        <v>0.03</v>
      </c>
      <c r="Q421" s="4">
        <v>480</v>
      </c>
      <c r="R421" s="24">
        <f>C421/1000*480</f>
        <v>7.1999999999999993</v>
      </c>
    </row>
    <row r="422" spans="1:18" ht="18">
      <c r="A422" s="36"/>
      <c r="B422" s="30" t="s">
        <v>68</v>
      </c>
      <c r="C422" s="7">
        <f t="shared" ref="C422:P422" si="53">SUM(C420:C421)</f>
        <v>175</v>
      </c>
      <c r="D422" s="7">
        <f t="shared" si="53"/>
        <v>40</v>
      </c>
      <c r="E422" s="7">
        <f t="shared" si="53"/>
        <v>135</v>
      </c>
      <c r="F422" s="7">
        <f t="shared" si="53"/>
        <v>2.4750000000000001</v>
      </c>
      <c r="G422" s="7">
        <f t="shared" si="53"/>
        <v>12.855</v>
      </c>
      <c r="H422" s="7">
        <f t="shared" si="53"/>
        <v>19.680000000000003</v>
      </c>
      <c r="I422" s="7">
        <f t="shared" si="53"/>
        <v>208.2</v>
      </c>
      <c r="J422" s="7">
        <f t="shared" si="53"/>
        <v>0.14399999999999999</v>
      </c>
      <c r="K422" s="7">
        <f t="shared" si="53"/>
        <v>24</v>
      </c>
      <c r="L422" s="7">
        <f t="shared" si="53"/>
        <v>8.8499999999999995E-2</v>
      </c>
      <c r="M422" s="7">
        <f t="shared" si="53"/>
        <v>13.8</v>
      </c>
      <c r="N422" s="7">
        <f t="shared" si="53"/>
        <v>72.449999999999989</v>
      </c>
      <c r="O422" s="7">
        <f t="shared" si="53"/>
        <v>27.66</v>
      </c>
      <c r="P422" s="7">
        <f t="shared" si="53"/>
        <v>1.1100000000000001</v>
      </c>
      <c r="Q422" s="7"/>
      <c r="R422" s="7">
        <f>SUM(R420:R421)</f>
        <v>16.32</v>
      </c>
    </row>
    <row r="423" spans="1:18" ht="21">
      <c r="A423" s="36"/>
      <c r="B423" s="154" t="s">
        <v>95</v>
      </c>
      <c r="C423" s="155"/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5"/>
      <c r="O423" s="155"/>
      <c r="P423" s="155"/>
      <c r="Q423" s="155"/>
      <c r="R423" s="156"/>
    </row>
    <row r="424" spans="1:18" ht="18">
      <c r="A424" s="36"/>
      <c r="B424" s="3" t="s">
        <v>72</v>
      </c>
      <c r="C424" s="4">
        <v>100</v>
      </c>
      <c r="D424" s="4">
        <f>C424*25%</f>
        <v>25</v>
      </c>
      <c r="E424" s="4">
        <f>C424-D424</f>
        <v>75</v>
      </c>
      <c r="F424" s="4">
        <f>E424*18.2%</f>
        <v>13.65</v>
      </c>
      <c r="G424" s="4">
        <f>E424*18.4%</f>
        <v>13.799999999999999</v>
      </c>
      <c r="H424" s="4">
        <f>E424*0.7%</f>
        <v>0.52499999999999991</v>
      </c>
      <c r="I424" s="4">
        <f>E424*241%</f>
        <v>180.75</v>
      </c>
      <c r="J424" s="4">
        <f>E424*0.07%</f>
        <v>5.2500000000000005E-2</v>
      </c>
      <c r="K424" s="4">
        <v>0</v>
      </c>
      <c r="L424" s="4">
        <f>E424*0.07%</f>
        <v>5.2500000000000005E-2</v>
      </c>
      <c r="M424" s="4">
        <f>E424*16%</f>
        <v>12</v>
      </c>
      <c r="N424" s="4">
        <f>E424*165%</f>
        <v>123.75</v>
      </c>
      <c r="O424" s="4">
        <f>E424*18%</f>
        <v>13.5</v>
      </c>
      <c r="P424" s="4">
        <f>E424*1.6%</f>
        <v>1.2</v>
      </c>
      <c r="Q424" s="4">
        <v>270</v>
      </c>
      <c r="R424" s="4">
        <f>C424/1000*270</f>
        <v>27</v>
      </c>
    </row>
    <row r="425" spans="1:18" ht="18">
      <c r="A425" s="36"/>
      <c r="B425" s="31" t="s">
        <v>68</v>
      </c>
      <c r="C425" s="7">
        <f>SUM(C424:C424)</f>
        <v>100</v>
      </c>
      <c r="D425" s="7">
        <f>SUM(D424:D424)</f>
        <v>25</v>
      </c>
      <c r="E425" s="7">
        <f>C425-D425</f>
        <v>75</v>
      </c>
      <c r="F425" s="7">
        <f t="shared" ref="F425:P425" si="54">SUM(F424:F424)</f>
        <v>13.65</v>
      </c>
      <c r="G425" s="7">
        <f t="shared" si="54"/>
        <v>13.799999999999999</v>
      </c>
      <c r="H425" s="7">
        <f t="shared" si="54"/>
        <v>0.52499999999999991</v>
      </c>
      <c r="I425" s="7">
        <f t="shared" si="54"/>
        <v>180.75</v>
      </c>
      <c r="J425" s="7">
        <f t="shared" si="54"/>
        <v>5.2500000000000005E-2</v>
      </c>
      <c r="K425" s="7">
        <f t="shared" si="54"/>
        <v>0</v>
      </c>
      <c r="L425" s="7">
        <f t="shared" si="54"/>
        <v>5.2500000000000005E-2</v>
      </c>
      <c r="M425" s="7">
        <f t="shared" si="54"/>
        <v>12</v>
      </c>
      <c r="N425" s="7">
        <f t="shared" si="54"/>
        <v>123.75</v>
      </c>
      <c r="O425" s="7">
        <f t="shared" si="54"/>
        <v>13.5</v>
      </c>
      <c r="P425" s="7">
        <f t="shared" si="54"/>
        <v>1.2</v>
      </c>
      <c r="Q425" s="7"/>
      <c r="R425" s="7">
        <f t="shared" ref="R425" si="55">SUM(R424:R424)</f>
        <v>27</v>
      </c>
    </row>
    <row r="426" spans="1:18" ht="21">
      <c r="A426" s="36"/>
      <c r="B426" s="130" t="s">
        <v>92</v>
      </c>
      <c r="C426" s="131"/>
      <c r="D426" s="131"/>
      <c r="E426" s="131"/>
      <c r="F426" s="131"/>
      <c r="G426" s="131"/>
      <c r="H426" s="131"/>
      <c r="I426" s="131"/>
      <c r="J426" s="131"/>
      <c r="K426" s="131"/>
      <c r="L426" s="131"/>
      <c r="M426" s="131"/>
      <c r="N426" s="131"/>
      <c r="O426" s="131"/>
      <c r="P426" s="131"/>
      <c r="Q426" s="131"/>
      <c r="R426" s="132"/>
    </row>
    <row r="427" spans="1:18" ht="18">
      <c r="A427" s="36"/>
      <c r="B427" s="31" t="s">
        <v>68</v>
      </c>
      <c r="C427" s="7">
        <v>50</v>
      </c>
      <c r="D427" s="7">
        <v>0</v>
      </c>
      <c r="E427" s="7">
        <v>50</v>
      </c>
      <c r="F427" s="7">
        <f>E427*7.9%</f>
        <v>3.95</v>
      </c>
      <c r="G427" s="7">
        <f>E427*1%</f>
        <v>0.5</v>
      </c>
      <c r="H427" s="7">
        <f>E427*48.1%</f>
        <v>24.05</v>
      </c>
      <c r="I427" s="7">
        <f>E427*239%</f>
        <v>119.5</v>
      </c>
      <c r="J427" s="7">
        <f>E427*0.16%</f>
        <v>0.08</v>
      </c>
      <c r="K427" s="7">
        <v>0</v>
      </c>
      <c r="L427" s="7">
        <v>0</v>
      </c>
      <c r="M427" s="7">
        <f>E427*23%</f>
        <v>11.5</v>
      </c>
      <c r="N427" s="7">
        <f>E427*87%</f>
        <v>43.5</v>
      </c>
      <c r="O427" s="7">
        <f>E427*33%</f>
        <v>16.5</v>
      </c>
      <c r="P427" s="7">
        <f>E427*2%</f>
        <v>1</v>
      </c>
      <c r="Q427" s="7">
        <v>50</v>
      </c>
      <c r="R427" s="7">
        <f>C427/1000*50</f>
        <v>2.5</v>
      </c>
    </row>
    <row r="428" spans="1:18" ht="21">
      <c r="A428" s="33"/>
      <c r="B428" s="130" t="s">
        <v>97</v>
      </c>
      <c r="C428" s="133"/>
      <c r="D428" s="133"/>
      <c r="E428" s="133"/>
      <c r="F428" s="133"/>
      <c r="G428" s="133"/>
      <c r="H428" s="133"/>
      <c r="I428" s="133"/>
      <c r="J428" s="133"/>
      <c r="K428" s="133"/>
      <c r="L428" s="133"/>
      <c r="M428" s="133"/>
      <c r="N428" s="133"/>
      <c r="O428" s="133"/>
      <c r="P428" s="133"/>
      <c r="Q428" s="133"/>
      <c r="R428" s="134"/>
    </row>
    <row r="429" spans="1:18" ht="18">
      <c r="A429" s="33"/>
      <c r="B429" s="4" t="s">
        <v>66</v>
      </c>
      <c r="C429" s="4">
        <v>15</v>
      </c>
      <c r="D429" s="4">
        <v>0</v>
      </c>
      <c r="E429" s="4">
        <v>15</v>
      </c>
      <c r="F429" s="4">
        <f>E429*5.2%</f>
        <v>0.78</v>
      </c>
      <c r="G429" s="4">
        <v>0</v>
      </c>
      <c r="H429" s="4">
        <f>E429*55%</f>
        <v>8.25</v>
      </c>
      <c r="I429" s="4">
        <f>E429*234%</f>
        <v>35.099999999999994</v>
      </c>
      <c r="J429" s="4">
        <f>E429*0.1%</f>
        <v>1.4999999999999999E-2</v>
      </c>
      <c r="K429" s="4">
        <f>E429*4%</f>
        <v>0.6</v>
      </c>
      <c r="L429" s="4">
        <v>0</v>
      </c>
      <c r="M429" s="4">
        <f>E429*160%</f>
        <v>24</v>
      </c>
      <c r="N429" s="4">
        <f>E429*146%</f>
        <v>21.9</v>
      </c>
      <c r="O429" s="4">
        <f>E429*105%</f>
        <v>15.75</v>
      </c>
      <c r="P429" s="4">
        <f>E429*3.2%</f>
        <v>0.48</v>
      </c>
      <c r="Q429" s="4">
        <v>350</v>
      </c>
      <c r="R429" s="4">
        <f>C429/1000*350</f>
        <v>5.25</v>
      </c>
    </row>
    <row r="430" spans="1:18" ht="18">
      <c r="A430" s="33"/>
      <c r="B430" s="4" t="s">
        <v>67</v>
      </c>
      <c r="C430" s="4">
        <v>10</v>
      </c>
      <c r="D430" s="4">
        <v>0</v>
      </c>
      <c r="E430" s="4">
        <v>10</v>
      </c>
      <c r="F430" s="4">
        <v>0</v>
      </c>
      <c r="G430" s="4">
        <v>0</v>
      </c>
      <c r="H430" s="4">
        <f>E430*99.8%</f>
        <v>9.98</v>
      </c>
      <c r="I430" s="4">
        <f>E430*379%</f>
        <v>37.9</v>
      </c>
      <c r="J430" s="4">
        <v>0</v>
      </c>
      <c r="K430" s="4">
        <v>0</v>
      </c>
      <c r="L430" s="4">
        <v>0</v>
      </c>
      <c r="M430" s="4">
        <f>E430*2%</f>
        <v>0.2</v>
      </c>
      <c r="N430" s="4">
        <v>0</v>
      </c>
      <c r="O430" s="4">
        <v>0</v>
      </c>
      <c r="P430" s="4">
        <f>E430*0.3%</f>
        <v>0.03</v>
      </c>
      <c r="Q430" s="4">
        <v>60</v>
      </c>
      <c r="R430" s="4">
        <f>C430/1000*60</f>
        <v>0.6</v>
      </c>
    </row>
    <row r="431" spans="1:18" ht="18">
      <c r="A431" s="33"/>
      <c r="B431" s="31" t="s">
        <v>68</v>
      </c>
      <c r="C431" s="7">
        <v>25</v>
      </c>
      <c r="D431" s="7">
        <f>SUM(D429:D430)</f>
        <v>0</v>
      </c>
      <c r="E431" s="7">
        <v>150</v>
      </c>
      <c r="F431" s="7">
        <f t="shared" ref="F431:P431" si="56">SUM(F429:F430)</f>
        <v>0.78</v>
      </c>
      <c r="G431" s="7">
        <f t="shared" si="56"/>
        <v>0</v>
      </c>
      <c r="H431" s="7">
        <f t="shared" si="56"/>
        <v>18.23</v>
      </c>
      <c r="I431" s="7">
        <f t="shared" si="56"/>
        <v>73</v>
      </c>
      <c r="J431" s="7">
        <f t="shared" si="56"/>
        <v>1.4999999999999999E-2</v>
      </c>
      <c r="K431" s="7">
        <f t="shared" si="56"/>
        <v>0.6</v>
      </c>
      <c r="L431" s="7">
        <f t="shared" si="56"/>
        <v>0</v>
      </c>
      <c r="M431" s="7">
        <f t="shared" si="56"/>
        <v>24.2</v>
      </c>
      <c r="N431" s="7">
        <f t="shared" si="56"/>
        <v>21.9</v>
      </c>
      <c r="O431" s="7">
        <f t="shared" si="56"/>
        <v>15.75</v>
      </c>
      <c r="P431" s="7">
        <f t="shared" si="56"/>
        <v>0.51</v>
      </c>
      <c r="Q431" s="7"/>
      <c r="R431" s="7">
        <f>SUM(R429:R430)</f>
        <v>5.85</v>
      </c>
    </row>
    <row r="432" spans="1:18" ht="21">
      <c r="A432" s="36"/>
      <c r="B432" s="130" t="s">
        <v>123</v>
      </c>
      <c r="C432" s="133"/>
      <c r="D432" s="133"/>
      <c r="E432" s="133"/>
      <c r="F432" s="133"/>
      <c r="G432" s="133"/>
      <c r="H432" s="133"/>
      <c r="I432" s="133"/>
      <c r="J432" s="133"/>
      <c r="K432" s="133"/>
      <c r="L432" s="133"/>
      <c r="M432" s="133"/>
      <c r="N432" s="133"/>
      <c r="O432" s="133"/>
      <c r="P432" s="133"/>
      <c r="Q432" s="133"/>
      <c r="R432" s="134"/>
    </row>
    <row r="433" spans="1:18" ht="18">
      <c r="A433" s="36"/>
      <c r="B433" s="31" t="s">
        <v>68</v>
      </c>
      <c r="C433" s="7">
        <v>147</v>
      </c>
      <c r="D433" s="7">
        <v>0</v>
      </c>
      <c r="E433" s="7">
        <v>150</v>
      </c>
      <c r="F433" s="7">
        <f>E433*0.08%</f>
        <v>0.12000000000000001</v>
      </c>
      <c r="G433" s="7">
        <v>0</v>
      </c>
      <c r="H433" s="7">
        <f>E433*9.6%</f>
        <v>14.4</v>
      </c>
      <c r="I433" s="7">
        <f>E433*43%</f>
        <v>64.5</v>
      </c>
      <c r="J433" s="7">
        <f>E433*0.06%</f>
        <v>0.09</v>
      </c>
      <c r="K433" s="7">
        <f>E433*10%</f>
        <v>15</v>
      </c>
      <c r="L433" s="7">
        <v>0</v>
      </c>
      <c r="M433" s="7">
        <f>E433*20%</f>
        <v>30</v>
      </c>
      <c r="N433" s="7">
        <f>E433*20%</f>
        <v>30</v>
      </c>
      <c r="O433" s="7">
        <f>E433*9%</f>
        <v>13.5</v>
      </c>
      <c r="P433" s="7">
        <f>E433*0.5%</f>
        <v>0.75</v>
      </c>
      <c r="Q433" s="7">
        <v>63</v>
      </c>
      <c r="R433" s="7">
        <f>C433/1000*63</f>
        <v>9.2609999999999992</v>
      </c>
    </row>
    <row r="434" spans="1:18" ht="21">
      <c r="A434" s="36"/>
      <c r="B434" s="121" t="s">
        <v>94</v>
      </c>
      <c r="C434" s="122"/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122"/>
      <c r="P434" s="122"/>
      <c r="Q434" s="122"/>
      <c r="R434" s="123"/>
    </row>
    <row r="435" spans="1:18" ht="18">
      <c r="A435" s="36"/>
      <c r="B435" s="31" t="s">
        <v>68</v>
      </c>
      <c r="C435" s="27">
        <v>3</v>
      </c>
      <c r="D435" s="7">
        <v>0</v>
      </c>
      <c r="E435" s="27">
        <f>C435-D435</f>
        <v>3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20</v>
      </c>
      <c r="R435" s="27">
        <f>C435/1000*20</f>
        <v>0.06</v>
      </c>
    </row>
    <row r="436" spans="1:18" ht="18">
      <c r="A436" s="36"/>
      <c r="B436" s="31"/>
      <c r="C436" s="27"/>
      <c r="D436" s="7"/>
      <c r="E436" s="2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27"/>
    </row>
    <row r="437" spans="1:18" ht="23.4">
      <c r="A437" s="36"/>
      <c r="B437" s="47" t="s">
        <v>68</v>
      </c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25">
        <f>R435+R433+R431+R427+R425+R422</f>
        <v>60.991</v>
      </c>
    </row>
    <row r="438" spans="1:18" ht="23.4">
      <c r="A438" s="37"/>
      <c r="B438" s="116"/>
      <c r="C438" s="117"/>
      <c r="D438" s="117"/>
      <c r="E438" s="117"/>
      <c r="F438" s="117"/>
      <c r="G438" s="117"/>
      <c r="H438" s="117"/>
      <c r="I438" s="117"/>
      <c r="J438" s="117"/>
      <c r="K438" s="117"/>
      <c r="L438" s="117"/>
      <c r="M438" s="117"/>
      <c r="N438" s="117"/>
      <c r="O438" s="117"/>
      <c r="P438" s="117"/>
      <c r="Q438" s="117"/>
      <c r="R438" s="38"/>
    </row>
    <row r="439" spans="1:18" ht="23.4">
      <c r="A439" s="37"/>
      <c r="B439" s="116"/>
      <c r="C439" s="117"/>
      <c r="D439" s="117"/>
      <c r="E439" s="117"/>
      <c r="F439" s="117"/>
      <c r="G439" s="117"/>
      <c r="H439" s="117"/>
      <c r="I439" s="118" t="s">
        <v>146</v>
      </c>
      <c r="J439" s="118"/>
      <c r="K439" s="118"/>
      <c r="L439" s="118"/>
      <c r="M439" s="118"/>
      <c r="N439" s="117"/>
      <c r="O439" s="117"/>
      <c r="P439" s="117"/>
      <c r="Q439" s="117"/>
      <c r="R439" s="38"/>
    </row>
    <row r="441" spans="1:18" ht="17.399999999999999">
      <c r="A441" s="168"/>
      <c r="B441" s="170" t="s">
        <v>0</v>
      </c>
      <c r="C441" s="172" t="s">
        <v>84</v>
      </c>
      <c r="D441" s="166" t="s">
        <v>19</v>
      </c>
      <c r="E441" s="166" t="s">
        <v>18</v>
      </c>
      <c r="F441" s="164" t="s">
        <v>1</v>
      </c>
      <c r="G441" s="164" t="s">
        <v>2</v>
      </c>
      <c r="H441" s="177" t="s">
        <v>3</v>
      </c>
      <c r="I441" s="164" t="s">
        <v>4</v>
      </c>
      <c r="J441" s="197" t="s">
        <v>5</v>
      </c>
      <c r="K441" s="198"/>
      <c r="L441" s="199"/>
      <c r="M441" s="197" t="s">
        <v>6</v>
      </c>
      <c r="N441" s="198"/>
      <c r="O441" s="198"/>
      <c r="P441" s="199"/>
      <c r="Q441" s="164" t="s">
        <v>65</v>
      </c>
      <c r="R441" s="200" t="s">
        <v>101</v>
      </c>
    </row>
    <row r="442" spans="1:18">
      <c r="A442" s="169"/>
      <c r="B442" s="171"/>
      <c r="C442" s="173"/>
      <c r="D442" s="175"/>
      <c r="E442" s="175"/>
      <c r="F442" s="176"/>
      <c r="G442" s="176"/>
      <c r="H442" s="178"/>
      <c r="I442" s="176"/>
      <c r="J442" s="164" t="s">
        <v>7</v>
      </c>
      <c r="K442" s="166" t="s">
        <v>8</v>
      </c>
      <c r="L442" s="164" t="s">
        <v>9</v>
      </c>
      <c r="M442" s="164" t="s">
        <v>10</v>
      </c>
      <c r="N442" s="164" t="s">
        <v>11</v>
      </c>
      <c r="O442" s="164" t="s">
        <v>12</v>
      </c>
      <c r="P442" s="164" t="s">
        <v>13</v>
      </c>
      <c r="Q442" s="176"/>
      <c r="R442" s="201"/>
    </row>
    <row r="443" spans="1:18" ht="17.399999999999999">
      <c r="A443" s="50"/>
      <c r="B443" s="51"/>
      <c r="C443" s="174"/>
      <c r="D443" s="167"/>
      <c r="E443" s="167"/>
      <c r="F443" s="165"/>
      <c r="G443" s="165"/>
      <c r="H443" s="179"/>
      <c r="I443" s="165"/>
      <c r="J443" s="165"/>
      <c r="K443" s="167"/>
      <c r="L443" s="165"/>
      <c r="M443" s="165"/>
      <c r="N443" s="165"/>
      <c r="O443" s="165"/>
      <c r="P443" s="165"/>
      <c r="Q443" s="165"/>
      <c r="R443" s="202"/>
    </row>
    <row r="444" spans="1:18" ht="21">
      <c r="A444" s="56"/>
      <c r="B444" s="154" t="s">
        <v>104</v>
      </c>
      <c r="C444" s="157"/>
      <c r="D444" s="157"/>
      <c r="E444" s="157"/>
      <c r="F444" s="157"/>
      <c r="G444" s="157"/>
      <c r="H444" s="157"/>
      <c r="I444" s="157"/>
      <c r="J444" s="157"/>
      <c r="K444" s="157"/>
      <c r="L444" s="157"/>
      <c r="M444" s="157"/>
      <c r="N444" s="157"/>
      <c r="O444" s="157"/>
      <c r="P444" s="157"/>
      <c r="Q444" s="157"/>
      <c r="R444" s="157"/>
    </row>
    <row r="445" spans="1:18" ht="18">
      <c r="A445" s="56"/>
      <c r="B445" s="58" t="s">
        <v>76</v>
      </c>
      <c r="C445" s="59">
        <v>50</v>
      </c>
      <c r="D445" s="59">
        <v>0</v>
      </c>
      <c r="E445" s="59">
        <v>50</v>
      </c>
      <c r="F445" s="59">
        <f>E445*12.6%</f>
        <v>6.3</v>
      </c>
      <c r="G445" s="59">
        <f>E445*3.3%</f>
        <v>1.6500000000000001</v>
      </c>
      <c r="H445" s="59">
        <f>E445*62.1%</f>
        <v>31.05</v>
      </c>
      <c r="I445" s="59">
        <f>E445*335%</f>
        <v>167.5</v>
      </c>
      <c r="J445" s="59">
        <f>E445*0.43%</f>
        <v>0.215</v>
      </c>
      <c r="K445" s="59">
        <v>0</v>
      </c>
      <c r="L445" s="59">
        <v>0</v>
      </c>
      <c r="M445" s="59">
        <f>E445*20%</f>
        <v>10</v>
      </c>
      <c r="N445" s="59">
        <f>E445*298%</f>
        <v>149</v>
      </c>
      <c r="O445" s="59">
        <f>E445*200%</f>
        <v>100</v>
      </c>
      <c r="P445" s="59">
        <f>E445*6.7%</f>
        <v>3.35</v>
      </c>
      <c r="Q445" s="59">
        <v>67</v>
      </c>
      <c r="R445" s="60">
        <f>C445/1000*67</f>
        <v>3.35</v>
      </c>
    </row>
    <row r="446" spans="1:18" ht="18">
      <c r="A446" s="61"/>
      <c r="B446" s="58" t="s">
        <v>21</v>
      </c>
      <c r="C446" s="59">
        <v>10</v>
      </c>
      <c r="D446" s="59">
        <v>0</v>
      </c>
      <c r="E446" s="59">
        <f>C446-D446</f>
        <v>10</v>
      </c>
      <c r="F446" s="59">
        <f>E446*0.5%</f>
        <v>0.05</v>
      </c>
      <c r="G446" s="59">
        <f>E446*82.5%</f>
        <v>8.25</v>
      </c>
      <c r="H446" s="59">
        <f>E446*0.8%</f>
        <v>0.08</v>
      </c>
      <c r="I446" s="59">
        <f>E446*748%</f>
        <v>74.800000000000011</v>
      </c>
      <c r="J446" s="59">
        <v>0</v>
      </c>
      <c r="K446" s="59">
        <v>0</v>
      </c>
      <c r="L446" s="59">
        <f>E446*0.59%</f>
        <v>5.8999999999999997E-2</v>
      </c>
      <c r="M446" s="59">
        <f>E446*12%</f>
        <v>1.2</v>
      </c>
      <c r="N446" s="59">
        <f>E446*19%</f>
        <v>1.9</v>
      </c>
      <c r="O446" s="59">
        <f>E446*0.4%</f>
        <v>0.04</v>
      </c>
      <c r="P446" s="59">
        <f>E446*0.2%</f>
        <v>0.02</v>
      </c>
      <c r="Q446" s="59">
        <v>480</v>
      </c>
      <c r="R446" s="60">
        <f>C446/1000*480</f>
        <v>4.8</v>
      </c>
    </row>
    <row r="447" spans="1:18" ht="18">
      <c r="A447" s="67"/>
      <c r="B447" s="68" t="s">
        <v>68</v>
      </c>
      <c r="C447" s="65">
        <f>C446+C445</f>
        <v>60</v>
      </c>
      <c r="D447" s="65">
        <f>SUM(D445:D446)</f>
        <v>0</v>
      </c>
      <c r="E447" s="65">
        <v>150</v>
      </c>
      <c r="F447" s="65">
        <f t="shared" ref="F447:P447" si="57">SUM(F445:F446)</f>
        <v>6.35</v>
      </c>
      <c r="G447" s="65">
        <f t="shared" si="57"/>
        <v>9.9</v>
      </c>
      <c r="H447" s="65">
        <f t="shared" si="57"/>
        <v>31.13</v>
      </c>
      <c r="I447" s="65">
        <f t="shared" si="57"/>
        <v>242.3</v>
      </c>
      <c r="J447" s="65">
        <f t="shared" si="57"/>
        <v>0.215</v>
      </c>
      <c r="K447" s="65">
        <f t="shared" si="57"/>
        <v>0</v>
      </c>
      <c r="L447" s="65">
        <f t="shared" si="57"/>
        <v>5.8999999999999997E-2</v>
      </c>
      <c r="M447" s="65">
        <f t="shared" si="57"/>
        <v>11.2</v>
      </c>
      <c r="N447" s="65">
        <f t="shared" si="57"/>
        <v>150.9</v>
      </c>
      <c r="O447" s="65">
        <f t="shared" si="57"/>
        <v>100.04</v>
      </c>
      <c r="P447" s="65">
        <f t="shared" si="57"/>
        <v>3.37</v>
      </c>
      <c r="Q447" s="65"/>
      <c r="R447" s="65">
        <f>SUM(R445:R446)</f>
        <v>8.15</v>
      </c>
    </row>
    <row r="448" spans="1:18" ht="20.399999999999999">
      <c r="A448" s="36"/>
      <c r="B448" s="158" t="s">
        <v>121</v>
      </c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60"/>
    </row>
    <row r="449" spans="1:18" ht="18">
      <c r="A449" s="88"/>
      <c r="B449" s="89" t="s">
        <v>109</v>
      </c>
      <c r="C449" s="62">
        <v>60</v>
      </c>
      <c r="D449" s="62">
        <f>C449*26.4%</f>
        <v>15.84</v>
      </c>
      <c r="E449" s="62">
        <f>SUM(C449-D449)</f>
        <v>44.16</v>
      </c>
      <c r="F449" s="62">
        <f>E449*18.6%</f>
        <v>8.2137600000000006</v>
      </c>
      <c r="G449" s="62">
        <f>E449*16%</f>
        <v>7.0655999999999999</v>
      </c>
      <c r="H449" s="62">
        <v>0</v>
      </c>
      <c r="I449" s="62">
        <f>E449*218%</f>
        <v>96.268799999999999</v>
      </c>
      <c r="J449" s="62">
        <f>E449*0.06%</f>
        <v>2.6495999999999995E-2</v>
      </c>
      <c r="K449" s="62">
        <v>0</v>
      </c>
      <c r="L449" s="62">
        <v>0</v>
      </c>
      <c r="M449" s="62">
        <f>E449*9%</f>
        <v>3.9743999999999997</v>
      </c>
      <c r="N449" s="62">
        <f>E449*188%</f>
        <v>83.020799999999994</v>
      </c>
      <c r="O449" s="62">
        <f>E449*22%</f>
        <v>9.7151999999999994</v>
      </c>
      <c r="P449" s="62">
        <f>E449*2.7%</f>
        <v>1.19232</v>
      </c>
      <c r="Q449" s="62">
        <v>475</v>
      </c>
      <c r="R449" s="62">
        <f>C449/1000*475</f>
        <v>28.5</v>
      </c>
    </row>
    <row r="450" spans="1:18" ht="18">
      <c r="A450" s="88"/>
      <c r="B450" s="89" t="s">
        <v>14</v>
      </c>
      <c r="C450" s="62">
        <v>25</v>
      </c>
      <c r="D450" s="62">
        <v>5</v>
      </c>
      <c r="E450" s="62">
        <f>C450-D450</f>
        <v>20</v>
      </c>
      <c r="F450" s="62">
        <f>E450*1.3%</f>
        <v>0.26</v>
      </c>
      <c r="G450" s="62">
        <v>0</v>
      </c>
      <c r="H450" s="62">
        <f>E450*7.2%</f>
        <v>1.4400000000000002</v>
      </c>
      <c r="I450" s="62">
        <f>E450*30%</f>
        <v>6</v>
      </c>
      <c r="J450" s="62">
        <f>E450*0.06%</f>
        <v>1.1999999999999999E-2</v>
      </c>
      <c r="K450" s="62">
        <f>E450*5%</f>
        <v>1</v>
      </c>
      <c r="L450" s="62">
        <v>0</v>
      </c>
      <c r="M450" s="62">
        <f>E450*51%</f>
        <v>10.199999999999999</v>
      </c>
      <c r="N450" s="62">
        <f>E450*55%</f>
        <v>11</v>
      </c>
      <c r="O450" s="62">
        <f>E450*38%</f>
        <v>7.6</v>
      </c>
      <c r="P450" s="62">
        <f>E450*0.7%</f>
        <v>0.13999999999999999</v>
      </c>
      <c r="Q450" s="62">
        <v>60</v>
      </c>
      <c r="R450" s="62">
        <f>C450/1000*60</f>
        <v>1.5</v>
      </c>
    </row>
    <row r="451" spans="1:18" ht="18">
      <c r="A451" s="88"/>
      <c r="B451" s="89" t="s">
        <v>71</v>
      </c>
      <c r="C451" s="62">
        <v>26</v>
      </c>
      <c r="D451" s="62">
        <f>C451*0.16</f>
        <v>4.16</v>
      </c>
      <c r="E451" s="62">
        <f>C451-D451</f>
        <v>21.84</v>
      </c>
      <c r="F451" s="62">
        <f>E451*1.4%</f>
        <v>0.30575999999999998</v>
      </c>
      <c r="G451" s="63">
        <v>0</v>
      </c>
      <c r="H451" s="62">
        <f>E451*9.1%</f>
        <v>1.9874399999999999</v>
      </c>
      <c r="I451" s="62">
        <f>E451*41%</f>
        <v>8.9543999999999997</v>
      </c>
      <c r="J451" s="62">
        <f>E451*0.05%</f>
        <v>1.0920000000000001E-2</v>
      </c>
      <c r="K451" s="62">
        <f>E451*10%</f>
        <v>2.1840000000000002</v>
      </c>
      <c r="L451" s="62">
        <v>0</v>
      </c>
      <c r="M451" s="62">
        <f>E451*31%</f>
        <v>6.7703999999999995</v>
      </c>
      <c r="N451" s="62">
        <f>E451*58%</f>
        <v>12.667199999999999</v>
      </c>
      <c r="O451" s="62">
        <f>E451*14%</f>
        <v>3.0576000000000003</v>
      </c>
      <c r="P451" s="62">
        <f>E451*0.8%</f>
        <v>0.17472000000000001</v>
      </c>
      <c r="Q451" s="62">
        <v>40</v>
      </c>
      <c r="R451" s="62">
        <f>C451/1000*40</f>
        <v>1.04</v>
      </c>
    </row>
    <row r="452" spans="1:18" ht="18">
      <c r="A452" s="91"/>
      <c r="B452" s="98" t="s">
        <v>77</v>
      </c>
      <c r="C452" s="98">
        <v>10</v>
      </c>
      <c r="D452" s="98">
        <v>0</v>
      </c>
      <c r="E452" s="98">
        <f>C452-D452</f>
        <v>10</v>
      </c>
      <c r="F452" s="98">
        <f>E452*7.9%</f>
        <v>0.79</v>
      </c>
      <c r="G452" s="98">
        <f>E452*1%</f>
        <v>0.1</v>
      </c>
      <c r="H452" s="98">
        <f>E452*48.1%</f>
        <v>4.8100000000000005</v>
      </c>
      <c r="I452" s="98">
        <f>E452*239%</f>
        <v>23.900000000000002</v>
      </c>
      <c r="J452" s="98">
        <f>E452*0.16%</f>
        <v>1.6E-2</v>
      </c>
      <c r="K452" s="98">
        <v>0</v>
      </c>
      <c r="L452" s="98">
        <v>0</v>
      </c>
      <c r="M452" s="98">
        <f>E452*23%</f>
        <v>2.3000000000000003</v>
      </c>
      <c r="N452" s="98">
        <f>E452*87%</f>
        <v>8.6999999999999993</v>
      </c>
      <c r="O452" s="98">
        <f>E452*33%</f>
        <v>3.3000000000000003</v>
      </c>
      <c r="P452" s="98">
        <f>E452*2%</f>
        <v>0.2</v>
      </c>
      <c r="Q452" s="98">
        <v>30</v>
      </c>
      <c r="R452" s="98">
        <f>C452/1000*30</f>
        <v>0.3</v>
      </c>
    </row>
    <row r="453" spans="1:18">
      <c r="A453" s="99"/>
      <c r="B453" s="54" t="s">
        <v>25</v>
      </c>
      <c r="C453" s="54">
        <v>5</v>
      </c>
      <c r="D453" s="54">
        <v>0</v>
      </c>
      <c r="E453" s="54">
        <f>SUM(C453:D453)</f>
        <v>5</v>
      </c>
      <c r="F453" s="54">
        <f>E453*1%</f>
        <v>0.05</v>
      </c>
      <c r="G453" s="54">
        <v>0</v>
      </c>
      <c r="H453" s="54">
        <f>E453*3.5%</f>
        <v>0.17500000000000002</v>
      </c>
      <c r="I453" s="54">
        <f>E453*19%</f>
        <v>0.95</v>
      </c>
      <c r="J453" s="54">
        <f>E453*0.03%</f>
        <v>1.4999999999999998E-3</v>
      </c>
      <c r="K453" s="54">
        <f>E453*10%</f>
        <v>0.5</v>
      </c>
      <c r="L453" s="54">
        <v>0</v>
      </c>
      <c r="M453" s="54">
        <f>C453*7%</f>
        <v>0.35000000000000003</v>
      </c>
      <c r="N453" s="54">
        <f>E453*32%</f>
        <v>1.6</v>
      </c>
      <c r="O453" s="54">
        <f>E453*12%</f>
        <v>0.6</v>
      </c>
      <c r="P453" s="54">
        <f>E453*0.7%</f>
        <v>3.4999999999999996E-2</v>
      </c>
      <c r="Q453" s="54">
        <v>150</v>
      </c>
      <c r="R453" s="54">
        <f>C453/1000*150</f>
        <v>0.75</v>
      </c>
    </row>
    <row r="454" spans="1:18" ht="18">
      <c r="A454" s="88"/>
      <c r="B454" s="89" t="s">
        <v>24</v>
      </c>
      <c r="C454" s="62">
        <v>10</v>
      </c>
      <c r="D454" s="62">
        <v>0</v>
      </c>
      <c r="E454" s="62">
        <f>SUM(C454:D454)</f>
        <v>10</v>
      </c>
      <c r="F454" s="62">
        <v>0</v>
      </c>
      <c r="G454" s="69">
        <f>E454*0.999</f>
        <v>9.99</v>
      </c>
      <c r="H454" s="62">
        <v>0</v>
      </c>
      <c r="I454" s="62">
        <f>E454*8.99%</f>
        <v>0.89900000000000002</v>
      </c>
      <c r="J454" s="62">
        <f>E454*0.06%</f>
        <v>5.9999999999999993E-3</v>
      </c>
      <c r="K454" s="62">
        <v>0</v>
      </c>
      <c r="L454" s="62">
        <v>0</v>
      </c>
      <c r="M454" s="62">
        <v>0</v>
      </c>
      <c r="N454" s="62">
        <v>0</v>
      </c>
      <c r="O454" s="62">
        <v>0</v>
      </c>
      <c r="P454" s="62">
        <v>0</v>
      </c>
      <c r="Q454" s="62">
        <v>150</v>
      </c>
      <c r="R454" s="62">
        <f>C454/1000*150</f>
        <v>1.5</v>
      </c>
    </row>
    <row r="455" spans="1:18" ht="18">
      <c r="A455" s="64"/>
      <c r="B455" s="52" t="s">
        <v>68</v>
      </c>
      <c r="C455" s="65">
        <f t="shared" ref="C455:P455" si="58">SUM(C449:C454)</f>
        <v>136</v>
      </c>
      <c r="D455" s="65">
        <f t="shared" si="58"/>
        <v>25</v>
      </c>
      <c r="E455" s="65">
        <f t="shared" si="58"/>
        <v>111</v>
      </c>
      <c r="F455" s="65">
        <f t="shared" si="58"/>
        <v>9.6195200000000014</v>
      </c>
      <c r="G455" s="65">
        <f t="shared" si="58"/>
        <v>17.1556</v>
      </c>
      <c r="H455" s="65">
        <f t="shared" si="58"/>
        <v>8.4124400000000001</v>
      </c>
      <c r="I455" s="65">
        <f t="shared" si="58"/>
        <v>136.97219999999999</v>
      </c>
      <c r="J455" s="65">
        <f t="shared" si="58"/>
        <v>7.2916000000000009E-2</v>
      </c>
      <c r="K455" s="65">
        <f t="shared" si="58"/>
        <v>3.6840000000000002</v>
      </c>
      <c r="L455" s="65">
        <f t="shared" si="58"/>
        <v>0</v>
      </c>
      <c r="M455" s="65">
        <f t="shared" si="58"/>
        <v>23.594799999999999</v>
      </c>
      <c r="N455" s="65">
        <f t="shared" si="58"/>
        <v>116.98799999999999</v>
      </c>
      <c r="O455" s="65">
        <f t="shared" si="58"/>
        <v>24.2728</v>
      </c>
      <c r="P455" s="65">
        <f t="shared" si="58"/>
        <v>1.7420399999999998</v>
      </c>
      <c r="Q455" s="65"/>
      <c r="R455" s="65">
        <f>SUM(R449:R454)</f>
        <v>33.590000000000003</v>
      </c>
    </row>
    <row r="456" spans="1:18" ht="21">
      <c r="A456" s="161" t="s">
        <v>105</v>
      </c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3"/>
    </row>
    <row r="457" spans="1:18" ht="18">
      <c r="A457" s="100"/>
      <c r="B457" s="102" t="s">
        <v>68</v>
      </c>
      <c r="C457" s="101">
        <v>30</v>
      </c>
      <c r="D457" s="101">
        <v>0</v>
      </c>
      <c r="E457" s="101">
        <v>30</v>
      </c>
      <c r="F457" s="101">
        <f>E457*7.9%</f>
        <v>2.37</v>
      </c>
      <c r="G457" s="101">
        <f>E457*1%</f>
        <v>0.3</v>
      </c>
      <c r="H457" s="101">
        <f>E457*48.1%</f>
        <v>14.430000000000001</v>
      </c>
      <c r="I457" s="101">
        <f>E457*239%</f>
        <v>71.7</v>
      </c>
      <c r="J457" s="101">
        <f>E457*0.16%</f>
        <v>4.8000000000000001E-2</v>
      </c>
      <c r="K457" s="101">
        <v>0</v>
      </c>
      <c r="L457" s="101">
        <v>0</v>
      </c>
      <c r="M457" s="101">
        <f>E457*23%</f>
        <v>6.9</v>
      </c>
      <c r="N457" s="101">
        <f>E457*87%</f>
        <v>26.1</v>
      </c>
      <c r="O457" s="101">
        <f>E457*33%</f>
        <v>9.9</v>
      </c>
      <c r="P457" s="101">
        <f>E457*2%</f>
        <v>0.6</v>
      </c>
      <c r="Q457" s="101">
        <v>50</v>
      </c>
      <c r="R457" s="101">
        <f>C457/1000*50</f>
        <v>1.5</v>
      </c>
    </row>
    <row r="458" spans="1:18" ht="21">
      <c r="A458" s="36"/>
      <c r="B458" s="130" t="s">
        <v>93</v>
      </c>
      <c r="C458" s="133"/>
      <c r="D458" s="133"/>
      <c r="E458" s="133"/>
      <c r="F458" s="133"/>
      <c r="G458" s="133"/>
      <c r="H458" s="133"/>
      <c r="I458" s="133"/>
      <c r="J458" s="133"/>
      <c r="K458" s="133"/>
      <c r="L458" s="133"/>
      <c r="M458" s="133"/>
      <c r="N458" s="133"/>
      <c r="O458" s="133"/>
      <c r="P458" s="133"/>
      <c r="Q458" s="133"/>
      <c r="R458" s="134"/>
    </row>
    <row r="459" spans="1:18" ht="18">
      <c r="A459" s="33"/>
      <c r="B459" s="4" t="s">
        <v>51</v>
      </c>
      <c r="C459" s="4">
        <v>1</v>
      </c>
      <c r="D459" s="4">
        <v>0</v>
      </c>
      <c r="E459" s="4">
        <f>C459-D459</f>
        <v>1</v>
      </c>
      <c r="F459" s="4">
        <f>E459*21.74%</f>
        <v>0.21739999999999998</v>
      </c>
      <c r="G459" s="4">
        <f>E459*7.61%</f>
        <v>7.6100000000000001E-2</v>
      </c>
      <c r="H459" s="4">
        <f>E459*2.86%</f>
        <v>2.86E-2</v>
      </c>
      <c r="I459" s="4">
        <f>E459*9.18%</f>
        <v>9.1799999999999993E-2</v>
      </c>
      <c r="J459" s="4">
        <f>E459*4.7%</f>
        <v>4.7E-2</v>
      </c>
      <c r="K459" s="4">
        <f>E459*11%</f>
        <v>0.11</v>
      </c>
      <c r="L459" s="4">
        <f>E459*5.6%</f>
        <v>5.5999999999999994E-2</v>
      </c>
      <c r="M459" s="4">
        <f>E459*50%</f>
        <v>0.5</v>
      </c>
      <c r="N459" s="4">
        <f>E459*10%</f>
        <v>0.1</v>
      </c>
      <c r="O459" s="4">
        <f>E459*110%</f>
        <v>1.1000000000000001</v>
      </c>
      <c r="P459" s="4">
        <f>E459*456%</f>
        <v>4.5599999999999996</v>
      </c>
      <c r="Q459" s="4">
        <v>950</v>
      </c>
      <c r="R459" s="4">
        <f>C459/1000*950</f>
        <v>0.95000000000000007</v>
      </c>
    </row>
    <row r="460" spans="1:18" ht="18">
      <c r="A460" s="36"/>
      <c r="B460" s="4" t="s">
        <v>67</v>
      </c>
      <c r="C460" s="4">
        <v>15</v>
      </c>
      <c r="D460" s="4">
        <v>0</v>
      </c>
      <c r="E460" s="4">
        <v>15</v>
      </c>
      <c r="F460" s="4">
        <v>0</v>
      </c>
      <c r="G460" s="4">
        <v>0</v>
      </c>
      <c r="H460" s="4">
        <f>E460*99.8%</f>
        <v>14.97</v>
      </c>
      <c r="I460" s="4">
        <f>E460*379%</f>
        <v>56.85</v>
      </c>
      <c r="J460" s="4">
        <v>0</v>
      </c>
      <c r="K460" s="4">
        <v>0</v>
      </c>
      <c r="L460" s="4">
        <v>0</v>
      </c>
      <c r="M460" s="4">
        <f>E460*2%</f>
        <v>0.3</v>
      </c>
      <c r="N460" s="4">
        <v>0</v>
      </c>
      <c r="O460" s="4">
        <v>0</v>
      </c>
      <c r="P460" s="4">
        <f>E460*0.3%</f>
        <v>4.4999999999999998E-2</v>
      </c>
      <c r="Q460" s="4">
        <v>60</v>
      </c>
      <c r="R460" s="4">
        <f>C460/1000*60</f>
        <v>0.89999999999999991</v>
      </c>
    </row>
    <row r="461" spans="1:18" ht="18">
      <c r="A461" s="67"/>
      <c r="B461" s="52" t="s">
        <v>68</v>
      </c>
      <c r="C461" s="65">
        <f>SUM(C459:C460)</f>
        <v>16</v>
      </c>
      <c r="D461" s="65">
        <f>SUM(D460:D460)</f>
        <v>0</v>
      </c>
      <c r="E461" s="65">
        <v>150</v>
      </c>
      <c r="F461" s="65">
        <f t="shared" ref="F461:P461" si="59">SUM(F460:F460)</f>
        <v>0</v>
      </c>
      <c r="G461" s="65">
        <f t="shared" si="59"/>
        <v>0</v>
      </c>
      <c r="H461" s="65">
        <f t="shared" si="59"/>
        <v>14.97</v>
      </c>
      <c r="I461" s="65">
        <f t="shared" si="59"/>
        <v>56.85</v>
      </c>
      <c r="J461" s="65">
        <f t="shared" si="59"/>
        <v>0</v>
      </c>
      <c r="K461" s="65">
        <f t="shared" si="59"/>
        <v>0</v>
      </c>
      <c r="L461" s="65">
        <f t="shared" si="59"/>
        <v>0</v>
      </c>
      <c r="M461" s="65">
        <f t="shared" si="59"/>
        <v>0.3</v>
      </c>
      <c r="N461" s="65">
        <f t="shared" si="59"/>
        <v>0</v>
      </c>
      <c r="O461" s="65">
        <f t="shared" si="59"/>
        <v>0</v>
      </c>
      <c r="P461" s="65">
        <f t="shared" si="59"/>
        <v>4.4999999999999998E-2</v>
      </c>
      <c r="Q461" s="65"/>
      <c r="R461" s="65">
        <f>SUM(R459:R460)</f>
        <v>1.85</v>
      </c>
    </row>
    <row r="462" spans="1:18" ht="21">
      <c r="A462" s="33"/>
      <c r="B462" s="121" t="s">
        <v>107</v>
      </c>
      <c r="C462" s="180"/>
      <c r="D462" s="180"/>
      <c r="E462" s="180"/>
      <c r="F462" s="180"/>
      <c r="G462" s="180"/>
      <c r="H462" s="180"/>
      <c r="I462" s="180"/>
      <c r="J462" s="180"/>
      <c r="K462" s="180"/>
      <c r="L462" s="180"/>
      <c r="M462" s="180"/>
      <c r="N462" s="180"/>
      <c r="O462" s="180"/>
      <c r="P462" s="180"/>
      <c r="Q462" s="180"/>
      <c r="R462" s="181"/>
    </row>
    <row r="463" spans="1:18" ht="18">
      <c r="A463" s="33"/>
      <c r="B463" s="31" t="s">
        <v>68</v>
      </c>
      <c r="C463" s="7">
        <v>130</v>
      </c>
      <c r="D463" s="7">
        <v>0</v>
      </c>
      <c r="E463" s="7">
        <f>C463-D463</f>
        <v>130</v>
      </c>
      <c r="F463" s="7">
        <f>E463*1.5%</f>
        <v>1.95</v>
      </c>
      <c r="G463" s="7">
        <f>E463*0.5%</f>
        <v>0.65</v>
      </c>
      <c r="H463" s="7">
        <f>E463*21%</f>
        <v>27.3</v>
      </c>
      <c r="I463" s="7">
        <f>E463*96%</f>
        <v>124.8</v>
      </c>
      <c r="J463" s="7">
        <v>0</v>
      </c>
      <c r="K463" s="7">
        <v>8.6999999999999993</v>
      </c>
      <c r="L463" s="7">
        <v>3</v>
      </c>
      <c r="M463" s="7">
        <v>5</v>
      </c>
      <c r="N463" s="7">
        <v>22</v>
      </c>
      <c r="O463" s="7">
        <v>27</v>
      </c>
      <c r="P463" s="7">
        <v>0.3</v>
      </c>
      <c r="Q463" s="7">
        <v>122</v>
      </c>
      <c r="R463" s="7">
        <f>C463/1000*122</f>
        <v>15.860000000000001</v>
      </c>
    </row>
    <row r="464" spans="1:18" ht="21">
      <c r="A464" s="182" t="s">
        <v>126</v>
      </c>
      <c r="B464" s="183"/>
      <c r="C464" s="183"/>
      <c r="D464" s="183"/>
      <c r="E464" s="183"/>
      <c r="F464" s="183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84"/>
    </row>
    <row r="465" spans="1:18">
      <c r="A465" s="65"/>
      <c r="B465" s="101" t="s">
        <v>68</v>
      </c>
      <c r="C465" s="101">
        <v>3</v>
      </c>
      <c r="D465" s="101">
        <v>0</v>
      </c>
      <c r="E465" s="101">
        <f>C465-D465</f>
        <v>3</v>
      </c>
      <c r="F465" s="101">
        <v>0</v>
      </c>
      <c r="G465" s="101">
        <v>0</v>
      </c>
      <c r="H465" s="101">
        <v>0</v>
      </c>
      <c r="I465" s="101">
        <v>0</v>
      </c>
      <c r="J465" s="101">
        <v>0</v>
      </c>
      <c r="K465" s="101">
        <v>0</v>
      </c>
      <c r="L465" s="101">
        <v>0</v>
      </c>
      <c r="M465" s="101">
        <v>0</v>
      </c>
      <c r="N465" s="101">
        <v>0</v>
      </c>
      <c r="O465" s="101">
        <v>0</v>
      </c>
      <c r="P465" s="101">
        <v>0</v>
      </c>
      <c r="Q465" s="101">
        <v>20</v>
      </c>
      <c r="R465" s="101">
        <f>C465/1000*20</f>
        <v>0.06</v>
      </c>
    </row>
    <row r="466" spans="1:18">
      <c r="A466" s="65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</row>
    <row r="467" spans="1:18" ht="22.8">
      <c r="A467" s="43"/>
      <c r="B467" s="41" t="s">
        <v>68</v>
      </c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8">
        <f>R465+R463+R461+R457+R455+R447</f>
        <v>61.010000000000005</v>
      </c>
    </row>
    <row r="468" spans="1:18" ht="22.8">
      <c r="A468" s="115"/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19"/>
      <c r="R468" s="120"/>
    </row>
    <row r="469" spans="1:18" ht="22.8">
      <c r="A469" s="115"/>
      <c r="B469" s="119"/>
      <c r="C469" s="119"/>
      <c r="D469" s="119"/>
      <c r="E469" s="119"/>
      <c r="F469" s="119"/>
      <c r="G469" s="119"/>
      <c r="H469" s="119"/>
      <c r="I469" s="119" t="s">
        <v>143</v>
      </c>
      <c r="J469" s="119"/>
      <c r="K469" s="119"/>
      <c r="L469" s="119"/>
      <c r="M469" s="119"/>
      <c r="N469" s="119"/>
      <c r="O469" s="119"/>
      <c r="P469" s="119"/>
      <c r="Q469" s="119"/>
      <c r="R469" s="120"/>
    </row>
    <row r="470" spans="1:18" ht="21">
      <c r="A470" s="77"/>
    </row>
    <row r="471" spans="1:18" ht="17.399999999999999" customHeight="1">
      <c r="A471" s="33"/>
      <c r="B471" s="135" t="s">
        <v>0</v>
      </c>
      <c r="C471" s="136" t="s">
        <v>17</v>
      </c>
      <c r="D471" s="139" t="s">
        <v>19</v>
      </c>
      <c r="E471" s="139" t="s">
        <v>18</v>
      </c>
      <c r="F471" s="142" t="s">
        <v>1</v>
      </c>
      <c r="G471" s="142" t="s">
        <v>2</v>
      </c>
      <c r="H471" s="142" t="s">
        <v>3</v>
      </c>
      <c r="I471" s="142" t="s">
        <v>4</v>
      </c>
      <c r="J471" s="145" t="s">
        <v>5</v>
      </c>
      <c r="K471" s="145"/>
      <c r="L471" s="145"/>
      <c r="M471" s="145" t="s">
        <v>6</v>
      </c>
      <c r="N471" s="145"/>
      <c r="O471" s="145"/>
      <c r="P471" s="145"/>
      <c r="Q471" s="146" t="s">
        <v>65</v>
      </c>
      <c r="R471" s="218" t="s">
        <v>102</v>
      </c>
    </row>
    <row r="472" spans="1:18" ht="14.4" customHeight="1">
      <c r="A472" s="33"/>
      <c r="B472" s="135"/>
      <c r="C472" s="137"/>
      <c r="D472" s="140"/>
      <c r="E472" s="140"/>
      <c r="F472" s="143"/>
      <c r="G472" s="143"/>
      <c r="H472" s="143"/>
      <c r="I472" s="143"/>
      <c r="J472" s="142" t="s">
        <v>7</v>
      </c>
      <c r="K472" s="152" t="s">
        <v>8</v>
      </c>
      <c r="L472" s="142" t="s">
        <v>9</v>
      </c>
      <c r="M472" s="142" t="s">
        <v>10</v>
      </c>
      <c r="N472" s="142" t="s">
        <v>11</v>
      </c>
      <c r="O472" s="142" t="s">
        <v>12</v>
      </c>
      <c r="P472" s="142" t="s">
        <v>13</v>
      </c>
      <c r="Q472" s="147"/>
      <c r="R472" s="219"/>
    </row>
    <row r="473" spans="1:18" ht="20.399999999999999">
      <c r="A473" s="33"/>
      <c r="B473" s="2"/>
      <c r="C473" s="138"/>
      <c r="D473" s="141"/>
      <c r="E473" s="141"/>
      <c r="F473" s="144"/>
      <c r="G473" s="144"/>
      <c r="H473" s="144"/>
      <c r="I473" s="144"/>
      <c r="J473" s="144"/>
      <c r="K473" s="153"/>
      <c r="L473" s="144"/>
      <c r="M473" s="144"/>
      <c r="N473" s="144"/>
      <c r="O473" s="144"/>
      <c r="P473" s="144"/>
      <c r="Q473" s="148"/>
      <c r="R473" s="220"/>
    </row>
    <row r="474" spans="1:18" ht="20.399999999999999" customHeight="1">
      <c r="A474" s="70"/>
      <c r="B474" s="231" t="s">
        <v>119</v>
      </c>
      <c r="C474" s="232"/>
      <c r="D474" s="232"/>
      <c r="E474" s="232"/>
      <c r="F474" s="232"/>
      <c r="G474" s="232"/>
      <c r="H474" s="232"/>
      <c r="I474" s="232"/>
      <c r="J474" s="232"/>
      <c r="K474" s="232"/>
      <c r="L474" s="232"/>
      <c r="M474" s="232"/>
      <c r="N474" s="232"/>
      <c r="O474" s="232"/>
      <c r="P474" s="232"/>
      <c r="Q474" s="232"/>
      <c r="R474" s="233"/>
    </row>
    <row r="475" spans="1:18" ht="18">
      <c r="A475" s="33"/>
      <c r="B475" s="3" t="s">
        <v>79</v>
      </c>
      <c r="C475" s="4">
        <v>60</v>
      </c>
      <c r="D475" s="4">
        <v>0</v>
      </c>
      <c r="E475" s="4">
        <f>C475-D475</f>
        <v>60</v>
      </c>
      <c r="F475" s="4">
        <f>E475*2.8%</f>
        <v>1.6799999999999997</v>
      </c>
      <c r="G475" s="4">
        <f>E475*3.2%</f>
        <v>1.92</v>
      </c>
      <c r="H475" s="4">
        <f>E475*4.7%</f>
        <v>2.82</v>
      </c>
      <c r="I475" s="4">
        <f>E475*58%</f>
        <v>34.799999999999997</v>
      </c>
      <c r="J475" s="4">
        <f>E475*0.04</f>
        <v>2.4</v>
      </c>
      <c r="K475" s="4">
        <f>E475*1.3%</f>
        <v>0.78</v>
      </c>
      <c r="L475" s="4">
        <f>E475*0.01%</f>
        <v>6.0000000000000001E-3</v>
      </c>
      <c r="M475" s="4">
        <f>E475*120%</f>
        <v>72</v>
      </c>
      <c r="N475" s="4">
        <f>E475*90%</f>
        <v>54</v>
      </c>
      <c r="O475" s="4">
        <f>E475*14%</f>
        <v>8.4</v>
      </c>
      <c r="P475" s="4">
        <f>E475*0.06%</f>
        <v>3.5999999999999997E-2</v>
      </c>
      <c r="Q475" s="4">
        <v>110</v>
      </c>
      <c r="R475" s="29">
        <f>C475/1000*110</f>
        <v>6.6</v>
      </c>
    </row>
    <row r="476" spans="1:18" ht="18">
      <c r="A476" s="33"/>
      <c r="B476" s="3" t="s">
        <v>23</v>
      </c>
      <c r="C476" s="4">
        <v>46</v>
      </c>
      <c r="D476" s="4">
        <v>0</v>
      </c>
      <c r="E476" s="4">
        <f>SUM(C476:D476)</f>
        <v>46</v>
      </c>
      <c r="F476" s="4">
        <f>E476*7%</f>
        <v>3.22</v>
      </c>
      <c r="G476" s="4">
        <f>E476*1%</f>
        <v>0.46</v>
      </c>
      <c r="H476" s="4">
        <f>E476*71.4%</f>
        <v>32.844000000000001</v>
      </c>
      <c r="I476" s="4">
        <f>E476*330%</f>
        <v>151.79999999999998</v>
      </c>
      <c r="J476" s="4">
        <f>E476*0.08%</f>
        <v>3.6799999999999999E-2</v>
      </c>
      <c r="K476" s="4">
        <v>0</v>
      </c>
      <c r="L476" s="4">
        <v>0</v>
      </c>
      <c r="M476" s="4">
        <f>E476*8%</f>
        <v>3.68</v>
      </c>
      <c r="N476" s="4">
        <f>E476*150%</f>
        <v>69</v>
      </c>
      <c r="O476" s="4">
        <f>E476*50%</f>
        <v>23</v>
      </c>
      <c r="P476" s="4">
        <f>E476*1%</f>
        <v>0.46</v>
      </c>
      <c r="Q476" s="4">
        <v>75</v>
      </c>
      <c r="R476" s="4">
        <f>C476/1000*75</f>
        <v>3.4499999999999997</v>
      </c>
    </row>
    <row r="477" spans="1:18" ht="21">
      <c r="A477" s="77"/>
      <c r="B477" s="3" t="s">
        <v>21</v>
      </c>
      <c r="C477" s="4">
        <v>15</v>
      </c>
      <c r="D477" s="4">
        <v>0</v>
      </c>
      <c r="E477" s="4">
        <f>C477-D477</f>
        <v>15</v>
      </c>
      <c r="F477" s="4">
        <f>E477*0.5%</f>
        <v>7.4999999999999997E-2</v>
      </c>
      <c r="G477" s="4">
        <f>E477*82.5%</f>
        <v>12.375</v>
      </c>
      <c r="H477" s="4">
        <f>E477*0.8%</f>
        <v>0.12</v>
      </c>
      <c r="I477" s="4">
        <f>E477*748%</f>
        <v>112.2</v>
      </c>
      <c r="J477" s="4">
        <v>0</v>
      </c>
      <c r="K477" s="4">
        <v>0</v>
      </c>
      <c r="L477" s="4">
        <f>E477*0.59%</f>
        <v>8.8499999999999995E-2</v>
      </c>
      <c r="M477" s="4">
        <f>E477*12%</f>
        <v>1.7999999999999998</v>
      </c>
      <c r="N477" s="4">
        <f>E477*19%</f>
        <v>2.85</v>
      </c>
      <c r="O477" s="4">
        <f>E477*0.4%</f>
        <v>0.06</v>
      </c>
      <c r="P477" s="4">
        <f>E477*0.2%</f>
        <v>0.03</v>
      </c>
      <c r="Q477" s="4">
        <v>480</v>
      </c>
      <c r="R477" s="29">
        <f>C477/1000*480</f>
        <v>7.1999999999999993</v>
      </c>
    </row>
    <row r="478" spans="1:18" ht="18">
      <c r="A478" s="33"/>
      <c r="B478" s="26" t="s">
        <v>68</v>
      </c>
      <c r="C478" s="7">
        <v>110</v>
      </c>
      <c r="D478" s="7">
        <v>0</v>
      </c>
      <c r="E478" s="7">
        <v>200</v>
      </c>
      <c r="F478" s="7">
        <f t="shared" ref="F478:P478" si="60">SUM(F476:F477)</f>
        <v>3.2950000000000004</v>
      </c>
      <c r="G478" s="7">
        <f t="shared" si="60"/>
        <v>12.835000000000001</v>
      </c>
      <c r="H478" s="7">
        <f t="shared" si="60"/>
        <v>32.963999999999999</v>
      </c>
      <c r="I478" s="7">
        <f t="shared" si="60"/>
        <v>264</v>
      </c>
      <c r="J478" s="7">
        <f t="shared" si="60"/>
        <v>3.6799999999999999E-2</v>
      </c>
      <c r="K478" s="7">
        <f t="shared" si="60"/>
        <v>0</v>
      </c>
      <c r="L478" s="7">
        <f t="shared" si="60"/>
        <v>8.8499999999999995E-2</v>
      </c>
      <c r="M478" s="7">
        <f t="shared" si="60"/>
        <v>5.48</v>
      </c>
      <c r="N478" s="7">
        <f t="shared" si="60"/>
        <v>71.849999999999994</v>
      </c>
      <c r="O478" s="7">
        <f t="shared" si="60"/>
        <v>23.06</v>
      </c>
      <c r="P478" s="7">
        <f t="shared" si="60"/>
        <v>0.49</v>
      </c>
      <c r="Q478" s="7"/>
      <c r="R478" s="7">
        <f>SUM(R475:R477)</f>
        <v>17.25</v>
      </c>
    </row>
    <row r="479" spans="1:18" ht="21">
      <c r="A479" s="75"/>
      <c r="B479" s="206" t="s">
        <v>118</v>
      </c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6"/>
    </row>
    <row r="480" spans="1:18" ht="18">
      <c r="A480" s="33"/>
      <c r="B480" s="3" t="s">
        <v>79</v>
      </c>
      <c r="C480" s="4">
        <v>60</v>
      </c>
      <c r="D480" s="4">
        <v>0</v>
      </c>
      <c r="E480" s="4">
        <f>C480-D480</f>
        <v>60</v>
      </c>
      <c r="F480" s="4">
        <f>E480*2.8%</f>
        <v>1.6799999999999997</v>
      </c>
      <c r="G480" s="4">
        <f>E480*3.2%</f>
        <v>1.92</v>
      </c>
      <c r="H480" s="4">
        <f>E480*4.7%</f>
        <v>2.82</v>
      </c>
      <c r="I480" s="4">
        <f>E480*58%</f>
        <v>34.799999999999997</v>
      </c>
      <c r="J480" s="4">
        <f>E480*0.04</f>
        <v>2.4</v>
      </c>
      <c r="K480" s="4">
        <f>E480*1.3%</f>
        <v>0.78</v>
      </c>
      <c r="L480" s="4">
        <f>E480*0.01%</f>
        <v>6.0000000000000001E-3</v>
      </c>
      <c r="M480" s="4">
        <f>E480*120%</f>
        <v>72</v>
      </c>
      <c r="N480" s="4">
        <f>E480*90%</f>
        <v>54</v>
      </c>
      <c r="O480" s="4">
        <f>E480*14%</f>
        <v>8.4</v>
      </c>
      <c r="P480" s="4">
        <f>E480*0.06%</f>
        <v>3.5999999999999997E-2</v>
      </c>
      <c r="Q480" s="4">
        <v>110</v>
      </c>
      <c r="R480" s="29">
        <f>C480/1000*110</f>
        <v>6.6</v>
      </c>
    </row>
    <row r="481" spans="1:18" ht="18">
      <c r="A481" s="36"/>
      <c r="B481" s="4" t="s">
        <v>67</v>
      </c>
      <c r="C481" s="4">
        <v>15</v>
      </c>
      <c r="D481" s="4">
        <v>0</v>
      </c>
      <c r="E481" s="4">
        <f>C481-D481</f>
        <v>15</v>
      </c>
      <c r="F481" s="4">
        <v>0</v>
      </c>
      <c r="G481" s="4">
        <v>0</v>
      </c>
      <c r="H481" s="4">
        <f>E481*99.8%</f>
        <v>14.97</v>
      </c>
      <c r="I481" s="4">
        <f>E481*379%</f>
        <v>56.85</v>
      </c>
      <c r="J481" s="4">
        <v>0</v>
      </c>
      <c r="K481" s="4">
        <v>0</v>
      </c>
      <c r="L481" s="4">
        <v>0</v>
      </c>
      <c r="M481" s="4">
        <f>E481*2%</f>
        <v>0.3</v>
      </c>
      <c r="N481" s="4">
        <v>0</v>
      </c>
      <c r="O481" s="4">
        <v>0</v>
      </c>
      <c r="P481" s="4">
        <f>E481*0.3%</f>
        <v>4.4999999999999998E-2</v>
      </c>
      <c r="Q481" s="4">
        <v>60</v>
      </c>
      <c r="R481" s="4">
        <f>C481/1000*60</f>
        <v>0.89999999999999991</v>
      </c>
    </row>
    <row r="482" spans="1:18" ht="18">
      <c r="A482" s="36"/>
      <c r="B482" s="29" t="s">
        <v>80</v>
      </c>
      <c r="C482" s="29">
        <v>1</v>
      </c>
      <c r="D482" s="29">
        <v>0</v>
      </c>
      <c r="E482" s="29">
        <f>C482-D482</f>
        <v>1</v>
      </c>
      <c r="F482" s="29">
        <f>E482*24.2%</f>
        <v>0.24199999999999999</v>
      </c>
      <c r="G482" s="29">
        <f>E482*17.5%</f>
        <v>0.17499999999999999</v>
      </c>
      <c r="H482" s="29">
        <f>E482*27.9%</f>
        <v>0.27899999999999997</v>
      </c>
      <c r="I482" s="29">
        <f>E482*380%</f>
        <v>3.8</v>
      </c>
      <c r="J482" s="29">
        <f>E482*0.1%</f>
        <v>1E-3</v>
      </c>
      <c r="K482" s="29">
        <v>0</v>
      </c>
      <c r="L482" s="29">
        <f>E482*0.02%</f>
        <v>2.0000000000000001E-4</v>
      </c>
      <c r="M482" s="29">
        <f>E482*55%</f>
        <v>0.55000000000000004</v>
      </c>
      <c r="N482" s="29">
        <f>E482*655%</f>
        <v>6.55</v>
      </c>
      <c r="O482" s="29">
        <f>E482*191%</f>
        <v>1.91</v>
      </c>
      <c r="P482" s="29">
        <f>E482*14.8%</f>
        <v>0.14800000000000002</v>
      </c>
      <c r="Q482" s="29">
        <v>850</v>
      </c>
      <c r="R482" s="29">
        <f>C482/1000*850</f>
        <v>0.85</v>
      </c>
    </row>
    <row r="483" spans="1:18" ht="18">
      <c r="A483" s="33"/>
      <c r="B483" s="31" t="s">
        <v>68</v>
      </c>
      <c r="C483" s="7">
        <v>115</v>
      </c>
      <c r="D483" s="7">
        <f>SUM(D479:D482)</f>
        <v>0</v>
      </c>
      <c r="E483" s="7">
        <v>150</v>
      </c>
      <c r="F483" s="7">
        <f t="shared" ref="F483:P483" si="61">SUM(F479:F482)</f>
        <v>1.9219999999999997</v>
      </c>
      <c r="G483" s="7">
        <f t="shared" si="61"/>
        <v>2.0949999999999998</v>
      </c>
      <c r="H483" s="7">
        <f t="shared" si="61"/>
        <v>18.068999999999999</v>
      </c>
      <c r="I483" s="7">
        <f t="shared" si="61"/>
        <v>95.45</v>
      </c>
      <c r="J483" s="7">
        <f t="shared" si="61"/>
        <v>2.4009999999999998</v>
      </c>
      <c r="K483" s="7">
        <f t="shared" si="61"/>
        <v>0.78</v>
      </c>
      <c r="L483" s="7">
        <f t="shared" si="61"/>
        <v>6.1999999999999998E-3</v>
      </c>
      <c r="M483" s="7">
        <f t="shared" si="61"/>
        <v>72.849999999999994</v>
      </c>
      <c r="N483" s="7">
        <f t="shared" si="61"/>
        <v>60.55</v>
      </c>
      <c r="O483" s="7">
        <f t="shared" si="61"/>
        <v>10.31</v>
      </c>
      <c r="P483" s="7">
        <f t="shared" si="61"/>
        <v>0.22900000000000001</v>
      </c>
      <c r="Q483" s="7"/>
      <c r="R483" s="7">
        <f>SUM(R480:R482)</f>
        <v>8.35</v>
      </c>
    </row>
    <row r="484" spans="1:18" ht="18">
      <c r="A484" s="33"/>
      <c r="B484" s="211" t="s">
        <v>92</v>
      </c>
      <c r="C484" s="234"/>
      <c r="D484" s="234"/>
      <c r="E484" s="234"/>
      <c r="F484" s="234"/>
      <c r="G484" s="234"/>
      <c r="H484" s="234"/>
      <c r="I484" s="234"/>
      <c r="J484" s="234"/>
      <c r="K484" s="234"/>
      <c r="L484" s="234"/>
      <c r="M484" s="234"/>
      <c r="N484" s="234"/>
      <c r="O484" s="234"/>
      <c r="P484" s="234"/>
      <c r="Q484" s="234"/>
      <c r="R484" s="235"/>
    </row>
    <row r="485" spans="1:18" ht="18">
      <c r="A485" s="33"/>
      <c r="B485" s="31" t="s">
        <v>68</v>
      </c>
      <c r="C485" s="7">
        <v>50</v>
      </c>
      <c r="D485" s="7">
        <v>0</v>
      </c>
      <c r="E485" s="7">
        <v>50</v>
      </c>
      <c r="F485" s="7">
        <f>E485*7.9%</f>
        <v>3.95</v>
      </c>
      <c r="G485" s="7">
        <f>E485*1%</f>
        <v>0.5</v>
      </c>
      <c r="H485" s="7">
        <f>E485*48.1%</f>
        <v>24.05</v>
      </c>
      <c r="I485" s="7">
        <f>E485*239%</f>
        <v>119.5</v>
      </c>
      <c r="J485" s="7">
        <f>E485*0.16%</f>
        <v>0.08</v>
      </c>
      <c r="K485" s="7">
        <v>0</v>
      </c>
      <c r="L485" s="7">
        <v>0</v>
      </c>
      <c r="M485" s="7">
        <f>E485*23%</f>
        <v>11.5</v>
      </c>
      <c r="N485" s="7">
        <f>E485*87%</f>
        <v>43.5</v>
      </c>
      <c r="O485" s="7">
        <f>E485*33%</f>
        <v>16.5</v>
      </c>
      <c r="P485" s="7">
        <f>E485*2%</f>
        <v>1</v>
      </c>
      <c r="Q485" s="7">
        <v>50</v>
      </c>
      <c r="R485" s="7">
        <f>C485/1000*50</f>
        <v>2.5</v>
      </c>
    </row>
    <row r="486" spans="1:18" ht="18">
      <c r="A486" s="33"/>
      <c r="B486" s="211" t="s">
        <v>99</v>
      </c>
      <c r="C486" s="131"/>
      <c r="D486" s="131"/>
      <c r="E486" s="131"/>
      <c r="F486" s="131"/>
      <c r="G486" s="131"/>
      <c r="H486" s="131"/>
      <c r="I486" s="131"/>
      <c r="J486" s="131"/>
      <c r="K486" s="131"/>
      <c r="L486" s="131"/>
      <c r="M486" s="131"/>
      <c r="N486" s="131"/>
      <c r="O486" s="131"/>
      <c r="P486" s="131"/>
      <c r="Q486" s="131"/>
      <c r="R486" s="132"/>
    </row>
    <row r="487" spans="1:18" ht="18">
      <c r="A487" s="33"/>
      <c r="B487" s="31" t="s">
        <v>68</v>
      </c>
      <c r="C487" s="4">
        <v>50</v>
      </c>
      <c r="D487" s="4">
        <v>0</v>
      </c>
      <c r="E487" s="4">
        <f>C487-D487</f>
        <v>50</v>
      </c>
      <c r="F487" s="4">
        <f>E487*12.5%</f>
        <v>6.25</v>
      </c>
      <c r="G487" s="4">
        <f>E487*11.5%</f>
        <v>5.75</v>
      </c>
      <c r="H487" s="4">
        <f>E487*0.7%</f>
        <v>0.35</v>
      </c>
      <c r="I487" s="4">
        <f>E487*157%</f>
        <v>78.5</v>
      </c>
      <c r="J487" s="4">
        <f>E487*0.07%</f>
        <v>3.5000000000000003E-2</v>
      </c>
      <c r="K487" s="4">
        <f>E487*0%</f>
        <v>0</v>
      </c>
      <c r="L487" s="4">
        <f>E487*0.25%</f>
        <v>0.125</v>
      </c>
      <c r="M487" s="4">
        <f>E487*55%</f>
        <v>27.500000000000004</v>
      </c>
      <c r="N487" s="4">
        <f>E487*192%</f>
        <v>96</v>
      </c>
      <c r="O487" s="4">
        <f>E487*12%</f>
        <v>6</v>
      </c>
      <c r="P487" s="4">
        <f>E487*2.5%</f>
        <v>1.25</v>
      </c>
      <c r="Q487" s="4">
        <v>200</v>
      </c>
      <c r="R487" s="7">
        <f>C487/1000*200</f>
        <v>10</v>
      </c>
    </row>
    <row r="488" spans="1:18" ht="18">
      <c r="A488" s="33"/>
      <c r="B488" s="211" t="s">
        <v>98</v>
      </c>
      <c r="C488" s="131"/>
      <c r="D488" s="131"/>
      <c r="E488" s="131"/>
      <c r="F488" s="131"/>
      <c r="G488" s="131"/>
      <c r="H488" s="131"/>
      <c r="I488" s="131"/>
      <c r="J488" s="131"/>
      <c r="K488" s="131"/>
      <c r="L488" s="131"/>
      <c r="M488" s="131"/>
      <c r="N488" s="131"/>
      <c r="O488" s="131"/>
      <c r="P488" s="131"/>
      <c r="Q488" s="131"/>
      <c r="R488" s="132"/>
    </row>
    <row r="489" spans="1:18" ht="18">
      <c r="A489" s="33"/>
      <c r="B489" s="31" t="s">
        <v>68</v>
      </c>
      <c r="C489" s="7">
        <v>40</v>
      </c>
      <c r="D489" s="7">
        <v>0</v>
      </c>
      <c r="E489" s="7">
        <f>C489-D489</f>
        <v>40</v>
      </c>
      <c r="F489" s="4">
        <f>E489*7.5%</f>
        <v>3</v>
      </c>
      <c r="G489" s="4">
        <f>E489*11.8%</f>
        <v>4.7200000000000006</v>
      </c>
      <c r="H489" s="4">
        <f>E489*74.4%</f>
        <v>29.760000000000005</v>
      </c>
      <c r="I489" s="4">
        <f>E489*436%</f>
        <v>174.4</v>
      </c>
      <c r="J489" s="4">
        <f>E489*0.08%</f>
        <v>3.2000000000000001E-2</v>
      </c>
      <c r="K489" s="4">
        <f>E489*0%</f>
        <v>0</v>
      </c>
      <c r="L489" s="4">
        <f>E489*0%</f>
        <v>0</v>
      </c>
      <c r="M489" s="4">
        <f>E489*29%</f>
        <v>11.6</v>
      </c>
      <c r="N489" s="4">
        <f>E489*90%</f>
        <v>36</v>
      </c>
      <c r="O489" s="4">
        <f>E489*20%</f>
        <v>8</v>
      </c>
      <c r="P489" s="4">
        <f>E489*2.1%</f>
        <v>0.84000000000000008</v>
      </c>
      <c r="Q489" s="4">
        <v>160</v>
      </c>
      <c r="R489" s="7">
        <f>C489/1000*160</f>
        <v>6.4</v>
      </c>
    </row>
    <row r="490" spans="1:18" ht="18">
      <c r="A490" s="36"/>
      <c r="B490" s="211" t="s">
        <v>89</v>
      </c>
      <c r="C490" s="131"/>
      <c r="D490" s="131"/>
      <c r="E490" s="131"/>
      <c r="F490" s="131"/>
      <c r="G490" s="131"/>
      <c r="H490" s="131"/>
      <c r="I490" s="131"/>
      <c r="J490" s="131"/>
      <c r="K490" s="131"/>
      <c r="L490" s="131"/>
      <c r="M490" s="131"/>
      <c r="N490" s="131"/>
      <c r="O490" s="131"/>
      <c r="P490" s="131"/>
      <c r="Q490" s="131"/>
      <c r="R490" s="132"/>
    </row>
    <row r="491" spans="1:18" ht="18">
      <c r="A491" s="37"/>
      <c r="B491" s="31" t="s">
        <v>68</v>
      </c>
      <c r="C491" s="7">
        <v>135</v>
      </c>
      <c r="D491" s="7">
        <v>0</v>
      </c>
      <c r="E491" s="7">
        <f>C491-D491</f>
        <v>135</v>
      </c>
      <c r="F491" s="7">
        <f>E491*1.5%</f>
        <v>2.0249999999999999</v>
      </c>
      <c r="G491" s="7">
        <f>E491*0.5%</f>
        <v>0.67500000000000004</v>
      </c>
      <c r="H491" s="7">
        <f>E491*21%</f>
        <v>28.349999999999998</v>
      </c>
      <c r="I491" s="7">
        <f>E491*96%</f>
        <v>129.6</v>
      </c>
      <c r="J491" s="7">
        <v>0</v>
      </c>
      <c r="K491" s="7">
        <v>8.6999999999999993</v>
      </c>
      <c r="L491" s="7">
        <v>3</v>
      </c>
      <c r="M491" s="7">
        <v>5</v>
      </c>
      <c r="N491" s="7">
        <v>22</v>
      </c>
      <c r="O491" s="7">
        <v>27</v>
      </c>
      <c r="P491" s="7">
        <v>0.3</v>
      </c>
      <c r="Q491" s="7">
        <v>122</v>
      </c>
      <c r="R491" s="7">
        <f>C491/1000*122</f>
        <v>16.470000000000002</v>
      </c>
    </row>
    <row r="492" spans="1:18" ht="18">
      <c r="B492" s="212" t="s">
        <v>90</v>
      </c>
      <c r="C492" s="122"/>
      <c r="D492" s="122"/>
      <c r="E492" s="122"/>
      <c r="F492" s="122"/>
      <c r="G492" s="122"/>
      <c r="H492" s="122"/>
      <c r="I492" s="122"/>
      <c r="J492" s="122"/>
      <c r="K492" s="122"/>
      <c r="L492" s="122"/>
      <c r="M492" s="122"/>
      <c r="N492" s="122"/>
      <c r="O492" s="122"/>
      <c r="P492" s="122"/>
      <c r="Q492" s="122"/>
      <c r="R492" s="123"/>
    </row>
    <row r="493" spans="1:18" ht="18">
      <c r="B493" s="31" t="s">
        <v>73</v>
      </c>
      <c r="C493" s="27">
        <v>3</v>
      </c>
      <c r="D493" s="7">
        <v>0</v>
      </c>
      <c r="E493" s="27">
        <f>C493-D493</f>
        <v>3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20</v>
      </c>
      <c r="R493" s="27">
        <f>C493/1000*20</f>
        <v>0.06</v>
      </c>
    </row>
    <row r="494" spans="1:18" ht="23.4">
      <c r="B494" s="25" t="s">
        <v>68</v>
      </c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>
        <f>R493+R491+R489+R487+R485+R483+R478</f>
        <v>61.03</v>
      </c>
    </row>
    <row r="502" spans="1:1">
      <c r="A502" s="185"/>
    </row>
    <row r="503" spans="1:1">
      <c r="A503" s="186"/>
    </row>
    <row r="504" spans="1:1" ht="17.399999999999999">
      <c r="A504" s="32"/>
    </row>
    <row r="505" spans="1:1" ht="17.399999999999999" customHeight="1">
      <c r="A505" s="26"/>
    </row>
    <row r="506" spans="1:1" ht="14.4" customHeight="1">
      <c r="A506" s="26"/>
    </row>
    <row r="507" spans="1:1" ht="18" customHeight="1">
      <c r="A507" s="26"/>
    </row>
    <row r="508" spans="1:1" ht="21" customHeight="1">
      <c r="A508" s="26"/>
    </row>
    <row r="509" spans="1:1" ht="18">
      <c r="A509" s="26"/>
    </row>
    <row r="510" spans="1:1" ht="18">
      <c r="A510" s="26"/>
    </row>
    <row r="511" spans="1:1" ht="18">
      <c r="A511" s="26"/>
    </row>
    <row r="512" spans="1:1" ht="18">
      <c r="A512" s="26"/>
    </row>
    <row r="513" spans="1:1" ht="18">
      <c r="A513" s="26"/>
    </row>
    <row r="514" spans="1:1" ht="20.399999999999999" customHeight="1">
      <c r="A514" s="33"/>
    </row>
    <row r="515" spans="1:1" ht="18">
      <c r="A515" s="33"/>
    </row>
    <row r="516" spans="1:1" ht="18">
      <c r="A516" s="33"/>
    </row>
    <row r="517" spans="1:1" ht="18">
      <c r="A517" s="33"/>
    </row>
    <row r="518" spans="1:1" ht="18">
      <c r="A518" s="34"/>
    </row>
    <row r="519" spans="1:1" ht="18">
      <c r="A519" s="33"/>
    </row>
    <row r="520" spans="1:1" ht="18">
      <c r="A520" s="33"/>
    </row>
    <row r="521" spans="1:1" ht="18">
      <c r="A521" s="33"/>
    </row>
    <row r="522" spans="1:1" ht="18">
      <c r="A522" s="33"/>
    </row>
    <row r="523" spans="1:1" ht="18">
      <c r="A523" s="33"/>
    </row>
    <row r="524" spans="1:1" ht="18">
      <c r="A524" s="33"/>
    </row>
    <row r="525" spans="1:1" ht="18">
      <c r="A525" s="35"/>
    </row>
  </sheetData>
  <mergeCells count="455">
    <mergeCell ref="A59:XFD60"/>
    <mergeCell ref="O330:O331"/>
    <mergeCell ref="P330:P331"/>
    <mergeCell ref="B332:R332"/>
    <mergeCell ref="A336:R336"/>
    <mergeCell ref="B320:R320"/>
    <mergeCell ref="M472:M473"/>
    <mergeCell ref="N472:N473"/>
    <mergeCell ref="O472:O473"/>
    <mergeCell ref="Q296:Q298"/>
    <mergeCell ref="B346:R346"/>
    <mergeCell ref="B340:R340"/>
    <mergeCell ref="B342:R342"/>
    <mergeCell ref="B348:R348"/>
    <mergeCell ref="J471:L471"/>
    <mergeCell ref="M471:P471"/>
    <mergeCell ref="Q471:Q473"/>
    <mergeCell ref="R471:R473"/>
    <mergeCell ref="J472:J473"/>
    <mergeCell ref="K472:K473"/>
    <mergeCell ref="L472:L473"/>
    <mergeCell ref="A329:A330"/>
    <mergeCell ref="B329:B330"/>
    <mergeCell ref="C329:C331"/>
    <mergeCell ref="A26:XFD28"/>
    <mergeCell ref="A209:XFD211"/>
    <mergeCell ref="A242:XFD244"/>
    <mergeCell ref="B261:R261"/>
    <mergeCell ref="A269:XFD271"/>
    <mergeCell ref="A295:XFD295"/>
    <mergeCell ref="A326:XFD328"/>
    <mergeCell ref="B73:R73"/>
    <mergeCell ref="B49:R49"/>
    <mergeCell ref="B106:R106"/>
    <mergeCell ref="B203:R203"/>
    <mergeCell ref="B236:R236"/>
    <mergeCell ref="B263:R263"/>
    <mergeCell ref="B257:R257"/>
    <mergeCell ref="A146:XFD148"/>
    <mergeCell ref="A112:XFD114"/>
    <mergeCell ref="A82:XFD84"/>
    <mergeCell ref="N246:N247"/>
    <mergeCell ref="O246:O247"/>
    <mergeCell ref="P246:P247"/>
    <mergeCell ref="O180:O181"/>
    <mergeCell ref="P180:P181"/>
    <mergeCell ref="B182:R182"/>
    <mergeCell ref="B188:R188"/>
    <mergeCell ref="A502:A503"/>
    <mergeCell ref="B471:B472"/>
    <mergeCell ref="C471:C473"/>
    <mergeCell ref="D471:D473"/>
    <mergeCell ref="E471:E473"/>
    <mergeCell ref="F471:F473"/>
    <mergeCell ref="G471:G473"/>
    <mergeCell ref="H471:H473"/>
    <mergeCell ref="I471:I473"/>
    <mergeCell ref="B488:R488"/>
    <mergeCell ref="B490:R490"/>
    <mergeCell ref="B492:R492"/>
    <mergeCell ref="D329:D331"/>
    <mergeCell ref="E329:E331"/>
    <mergeCell ref="F329:F331"/>
    <mergeCell ref="G329:G331"/>
    <mergeCell ref="H329:H331"/>
    <mergeCell ref="I329:I331"/>
    <mergeCell ref="A176:R178"/>
    <mergeCell ref="A179:A180"/>
    <mergeCell ref="B179:B180"/>
    <mergeCell ref="C179:C181"/>
    <mergeCell ref="D179:D181"/>
    <mergeCell ref="E179:E181"/>
    <mergeCell ref="F179:F181"/>
    <mergeCell ref="G179:G181"/>
    <mergeCell ref="H179:H181"/>
    <mergeCell ref="I179:I181"/>
    <mergeCell ref="J179:L179"/>
    <mergeCell ref="M179:P179"/>
    <mergeCell ref="Q245:Q247"/>
    <mergeCell ref="R245:R247"/>
    <mergeCell ref="J246:J247"/>
    <mergeCell ref="K246:K247"/>
    <mergeCell ref="L246:L247"/>
    <mergeCell ref="M246:M247"/>
    <mergeCell ref="B195:R195"/>
    <mergeCell ref="B197:R197"/>
    <mergeCell ref="B201:R201"/>
    <mergeCell ref="B205:R205"/>
    <mergeCell ref="B248:R248"/>
    <mergeCell ref="B252:R252"/>
    <mergeCell ref="B255:R255"/>
    <mergeCell ref="B265:R265"/>
    <mergeCell ref="J329:L329"/>
    <mergeCell ref="M329:P329"/>
    <mergeCell ref="Q329:Q331"/>
    <mergeCell ref="R329:R331"/>
    <mergeCell ref="J330:J331"/>
    <mergeCell ref="K330:K331"/>
    <mergeCell ref="L330:L331"/>
    <mergeCell ref="M330:M331"/>
    <mergeCell ref="N330:N331"/>
    <mergeCell ref="P273:P274"/>
    <mergeCell ref="A275:R275"/>
    <mergeCell ref="R296:R298"/>
    <mergeCell ref="B230:R230"/>
    <mergeCell ref="B314:R314"/>
    <mergeCell ref="B316:R316"/>
    <mergeCell ref="B322:R322"/>
    <mergeCell ref="Q179:Q181"/>
    <mergeCell ref="R179:R181"/>
    <mergeCell ref="J180:J181"/>
    <mergeCell ref="K180:K181"/>
    <mergeCell ref="L180:L181"/>
    <mergeCell ref="M180:M181"/>
    <mergeCell ref="N180:N181"/>
    <mergeCell ref="B215:R215"/>
    <mergeCell ref="B224:R224"/>
    <mergeCell ref="J213:J214"/>
    <mergeCell ref="K213:K214"/>
    <mergeCell ref="L213:L214"/>
    <mergeCell ref="M213:M214"/>
    <mergeCell ref="N213:N214"/>
    <mergeCell ref="O213:O214"/>
    <mergeCell ref="P213:P214"/>
    <mergeCell ref="B212:B213"/>
    <mergeCell ref="C212:C214"/>
    <mergeCell ref="D212:D214"/>
    <mergeCell ref="E212:E214"/>
    <mergeCell ref="F212:F214"/>
    <mergeCell ref="G212:G214"/>
    <mergeCell ref="H212:H214"/>
    <mergeCell ref="I212:I214"/>
    <mergeCell ref="A64:R64"/>
    <mergeCell ref="B68:R68"/>
    <mergeCell ref="B71:R71"/>
    <mergeCell ref="B76:R76"/>
    <mergeCell ref="B78:R78"/>
    <mergeCell ref="A115:A116"/>
    <mergeCell ref="B115:B116"/>
    <mergeCell ref="C115:C117"/>
    <mergeCell ref="D115:D117"/>
    <mergeCell ref="E115:E117"/>
    <mergeCell ref="F115:F117"/>
    <mergeCell ref="G115:G117"/>
    <mergeCell ref="H115:H117"/>
    <mergeCell ref="I115:I117"/>
    <mergeCell ref="J115:L115"/>
    <mergeCell ref="M115:P115"/>
    <mergeCell ref="Q115:Q117"/>
    <mergeCell ref="R115:R117"/>
    <mergeCell ref="J116:J117"/>
    <mergeCell ref="K116:K117"/>
    <mergeCell ref="L116:L117"/>
    <mergeCell ref="M116:M117"/>
    <mergeCell ref="N116:N117"/>
    <mergeCell ref="Q85:Q87"/>
    <mergeCell ref="M61:P61"/>
    <mergeCell ref="Q61:Q63"/>
    <mergeCell ref="R61:R63"/>
    <mergeCell ref="J62:J63"/>
    <mergeCell ref="K62:K63"/>
    <mergeCell ref="L62:L63"/>
    <mergeCell ref="M62:M63"/>
    <mergeCell ref="N62:N63"/>
    <mergeCell ref="O62:O63"/>
    <mergeCell ref="P62:P63"/>
    <mergeCell ref="B61:B62"/>
    <mergeCell ref="C61:C63"/>
    <mergeCell ref="D61:D63"/>
    <mergeCell ref="E61:E63"/>
    <mergeCell ref="F61:F63"/>
    <mergeCell ref="G61:G63"/>
    <mergeCell ref="H61:H63"/>
    <mergeCell ref="I61:I63"/>
    <mergeCell ref="J61:L61"/>
    <mergeCell ref="M86:M87"/>
    <mergeCell ref="N86:N87"/>
    <mergeCell ref="J86:J87"/>
    <mergeCell ref="B486:R486"/>
    <mergeCell ref="B474:R474"/>
    <mergeCell ref="B479:R479"/>
    <mergeCell ref="B484:R484"/>
    <mergeCell ref="M296:P296"/>
    <mergeCell ref="O116:O117"/>
    <mergeCell ref="P116:P117"/>
    <mergeCell ref="B118:R118"/>
    <mergeCell ref="B125:R125"/>
    <mergeCell ref="B132:R132"/>
    <mergeCell ref="B134:R134"/>
    <mergeCell ref="B138:R138"/>
    <mergeCell ref="B140:R140"/>
    <mergeCell ref="B142:R142"/>
    <mergeCell ref="J212:L212"/>
    <mergeCell ref="B232:R232"/>
    <mergeCell ref="O150:O151"/>
    <mergeCell ref="P150:P151"/>
    <mergeCell ref="P472:P473"/>
    <mergeCell ref="B305:R305"/>
    <mergeCell ref="A299:R299"/>
    <mergeCell ref="A1:R1"/>
    <mergeCell ref="O86:O87"/>
    <mergeCell ref="P86:P87"/>
    <mergeCell ref="R85:R87"/>
    <mergeCell ref="B296:B297"/>
    <mergeCell ref="D296:D298"/>
    <mergeCell ref="C297:C298"/>
    <mergeCell ref="E296:E298"/>
    <mergeCell ref="F296:F298"/>
    <mergeCell ref="G296:G298"/>
    <mergeCell ref="H296:H298"/>
    <mergeCell ref="L86:L87"/>
    <mergeCell ref="B102:R102"/>
    <mergeCell ref="A108:R108"/>
    <mergeCell ref="M297:M298"/>
    <mergeCell ref="N297:N298"/>
    <mergeCell ref="O297:O298"/>
    <mergeCell ref="P297:P298"/>
    <mergeCell ref="J296:L296"/>
    <mergeCell ref="A212:A213"/>
    <mergeCell ref="L297:L298"/>
    <mergeCell ref="I296:I298"/>
    <mergeCell ref="J297:J298"/>
    <mergeCell ref="K297:K298"/>
    <mergeCell ref="B238:R238"/>
    <mergeCell ref="M212:P212"/>
    <mergeCell ref="Q212:Q214"/>
    <mergeCell ref="R212:R214"/>
    <mergeCell ref="A245:A246"/>
    <mergeCell ref="B245:B246"/>
    <mergeCell ref="C245:C247"/>
    <mergeCell ref="D245:D247"/>
    <mergeCell ref="E245:E247"/>
    <mergeCell ref="F245:F247"/>
    <mergeCell ref="G245:G247"/>
    <mergeCell ref="H245:H247"/>
    <mergeCell ref="I245:I247"/>
    <mergeCell ref="J245:L245"/>
    <mergeCell ref="M245:P245"/>
    <mergeCell ref="A2:A3"/>
    <mergeCell ref="B2:B3"/>
    <mergeCell ref="C2:C4"/>
    <mergeCell ref="D2:D4"/>
    <mergeCell ref="E2:E4"/>
    <mergeCell ref="F2:F4"/>
    <mergeCell ref="G2:G4"/>
    <mergeCell ref="H2:H4"/>
    <mergeCell ref="I2:I4"/>
    <mergeCell ref="J2:L2"/>
    <mergeCell ref="M2:P2"/>
    <mergeCell ref="Q2:Q4"/>
    <mergeCell ref="R2:R4"/>
    <mergeCell ref="J3:J4"/>
    <mergeCell ref="K3:K4"/>
    <mergeCell ref="L3:L4"/>
    <mergeCell ref="M3:M4"/>
    <mergeCell ref="N3:N4"/>
    <mergeCell ref="O3:O4"/>
    <mergeCell ref="P3:P4"/>
    <mergeCell ref="B5:R5"/>
    <mergeCell ref="B9:R9"/>
    <mergeCell ref="B12:R12"/>
    <mergeCell ref="B14:R14"/>
    <mergeCell ref="B18:R18"/>
    <mergeCell ref="B22:R22"/>
    <mergeCell ref="A100:R100"/>
    <mergeCell ref="B92:R92"/>
    <mergeCell ref="B88:R88"/>
    <mergeCell ref="I85:I87"/>
    <mergeCell ref="H85:H87"/>
    <mergeCell ref="G85:G87"/>
    <mergeCell ref="F85:F87"/>
    <mergeCell ref="C85:C87"/>
    <mergeCell ref="E85:E87"/>
    <mergeCell ref="D85:D87"/>
    <mergeCell ref="B85:B86"/>
    <mergeCell ref="A85:A86"/>
    <mergeCell ref="M85:P85"/>
    <mergeCell ref="J85:L85"/>
    <mergeCell ref="K86:K87"/>
    <mergeCell ref="B20:R20"/>
    <mergeCell ref="B29:B30"/>
    <mergeCell ref="C29:C31"/>
    <mergeCell ref="B38:R38"/>
    <mergeCell ref="B47:R47"/>
    <mergeCell ref="B53:R53"/>
    <mergeCell ref="B55:R55"/>
    <mergeCell ref="R29:R31"/>
    <mergeCell ref="J30:J31"/>
    <mergeCell ref="K30:K31"/>
    <mergeCell ref="L30:L31"/>
    <mergeCell ref="M30:M31"/>
    <mergeCell ref="N30:N31"/>
    <mergeCell ref="O30:O31"/>
    <mergeCell ref="P30:P31"/>
    <mergeCell ref="B32:R32"/>
    <mergeCell ref="D29:D31"/>
    <mergeCell ref="E29:E31"/>
    <mergeCell ref="F29:F31"/>
    <mergeCell ref="G29:G31"/>
    <mergeCell ref="H29:H31"/>
    <mergeCell ref="I29:I31"/>
    <mergeCell ref="J29:L29"/>
    <mergeCell ref="M29:P29"/>
    <mergeCell ref="Q29:Q31"/>
    <mergeCell ref="A354:R354"/>
    <mergeCell ref="A355:A356"/>
    <mergeCell ref="B355:B356"/>
    <mergeCell ref="C355:C357"/>
    <mergeCell ref="D355:D357"/>
    <mergeCell ref="E355:E357"/>
    <mergeCell ref="F355:F357"/>
    <mergeCell ref="G355:G357"/>
    <mergeCell ref="H355:H357"/>
    <mergeCell ref="I355:I357"/>
    <mergeCell ref="J355:L355"/>
    <mergeCell ref="M355:P355"/>
    <mergeCell ref="Q355:Q357"/>
    <mergeCell ref="R355:R357"/>
    <mergeCell ref="J356:J357"/>
    <mergeCell ref="K356:K357"/>
    <mergeCell ref="L356:L357"/>
    <mergeCell ref="M356:M357"/>
    <mergeCell ref="N356:N357"/>
    <mergeCell ref="O356:O357"/>
    <mergeCell ref="P356:P357"/>
    <mergeCell ref="B358:R358"/>
    <mergeCell ref="B362:R362"/>
    <mergeCell ref="B365:R365"/>
    <mergeCell ref="B367:R367"/>
    <mergeCell ref="B371:R371"/>
    <mergeCell ref="B373:R373"/>
    <mergeCell ref="B375:R375"/>
    <mergeCell ref="B383:B384"/>
    <mergeCell ref="C383:C385"/>
    <mergeCell ref="D383:D385"/>
    <mergeCell ref="E383:E385"/>
    <mergeCell ref="F383:F385"/>
    <mergeCell ref="G383:G385"/>
    <mergeCell ref="H383:H385"/>
    <mergeCell ref="I383:I385"/>
    <mergeCell ref="J383:L383"/>
    <mergeCell ref="M383:P383"/>
    <mergeCell ref="Q383:Q385"/>
    <mergeCell ref="R383:R385"/>
    <mergeCell ref="J384:J385"/>
    <mergeCell ref="K384:K385"/>
    <mergeCell ref="L384:L385"/>
    <mergeCell ref="M384:M385"/>
    <mergeCell ref="N384:N385"/>
    <mergeCell ref="O384:O385"/>
    <mergeCell ref="P384:P385"/>
    <mergeCell ref="B386:R386"/>
    <mergeCell ref="B392:R392"/>
    <mergeCell ref="B401:R401"/>
    <mergeCell ref="B403:R403"/>
    <mergeCell ref="B407:R407"/>
    <mergeCell ref="B409:R409"/>
    <mergeCell ref="B416:B417"/>
    <mergeCell ref="C416:C418"/>
    <mergeCell ref="D416:D418"/>
    <mergeCell ref="E416:E418"/>
    <mergeCell ref="F416:F418"/>
    <mergeCell ref="G416:G418"/>
    <mergeCell ref="H416:H418"/>
    <mergeCell ref="I416:I418"/>
    <mergeCell ref="J416:L416"/>
    <mergeCell ref="M416:P416"/>
    <mergeCell ref="Q416:Q418"/>
    <mergeCell ref="R416:R418"/>
    <mergeCell ref="J417:J418"/>
    <mergeCell ref="K417:K418"/>
    <mergeCell ref="L417:L418"/>
    <mergeCell ref="M417:M418"/>
    <mergeCell ref="I441:I443"/>
    <mergeCell ref="N417:N418"/>
    <mergeCell ref="O417:O418"/>
    <mergeCell ref="P417:P418"/>
    <mergeCell ref="A419:R419"/>
    <mergeCell ref="B423:R423"/>
    <mergeCell ref="B426:R426"/>
    <mergeCell ref="B428:R428"/>
    <mergeCell ref="B432:R432"/>
    <mergeCell ref="B434:R434"/>
    <mergeCell ref="B462:R462"/>
    <mergeCell ref="A464:R464"/>
    <mergeCell ref="A149:A150"/>
    <mergeCell ref="B149:B150"/>
    <mergeCell ref="C149:C151"/>
    <mergeCell ref="D149:D151"/>
    <mergeCell ref="E149:E151"/>
    <mergeCell ref="F149:F151"/>
    <mergeCell ref="G149:G151"/>
    <mergeCell ref="H149:H151"/>
    <mergeCell ref="I149:I151"/>
    <mergeCell ref="J149:L149"/>
    <mergeCell ref="M149:P149"/>
    <mergeCell ref="Q149:Q151"/>
    <mergeCell ref="R149:R151"/>
    <mergeCell ref="J150:J151"/>
    <mergeCell ref="K150:K151"/>
    <mergeCell ref="L150:L151"/>
    <mergeCell ref="M150:M151"/>
    <mergeCell ref="N150:N151"/>
    <mergeCell ref="J441:L441"/>
    <mergeCell ref="M441:P441"/>
    <mergeCell ref="Q441:Q443"/>
    <mergeCell ref="R441:R443"/>
    <mergeCell ref="O273:O274"/>
    <mergeCell ref="B279:R279"/>
    <mergeCell ref="B282:R282"/>
    <mergeCell ref="B284:R284"/>
    <mergeCell ref="B288:R288"/>
    <mergeCell ref="B444:R444"/>
    <mergeCell ref="B448:R448"/>
    <mergeCell ref="A456:R456"/>
    <mergeCell ref="B458:R458"/>
    <mergeCell ref="J442:J443"/>
    <mergeCell ref="K442:K443"/>
    <mergeCell ref="L442:L443"/>
    <mergeCell ref="M442:M443"/>
    <mergeCell ref="N442:N443"/>
    <mergeCell ref="O442:O443"/>
    <mergeCell ref="P442:P443"/>
    <mergeCell ref="A441:A442"/>
    <mergeCell ref="B441:B442"/>
    <mergeCell ref="C441:C443"/>
    <mergeCell ref="D441:D443"/>
    <mergeCell ref="E441:E443"/>
    <mergeCell ref="F441:F443"/>
    <mergeCell ref="G441:G443"/>
    <mergeCell ref="H441:H443"/>
    <mergeCell ref="B290:R290"/>
    <mergeCell ref="B152:R152"/>
    <mergeCell ref="A156:R156"/>
    <mergeCell ref="B160:R160"/>
    <mergeCell ref="B162:R162"/>
    <mergeCell ref="B166:R166"/>
    <mergeCell ref="B168:R168"/>
    <mergeCell ref="B272:B273"/>
    <mergeCell ref="C272:C274"/>
    <mergeCell ref="D272:D274"/>
    <mergeCell ref="E272:E274"/>
    <mergeCell ref="F272:F274"/>
    <mergeCell ref="G272:G274"/>
    <mergeCell ref="H272:H274"/>
    <mergeCell ref="I272:I274"/>
    <mergeCell ref="J272:L272"/>
    <mergeCell ref="M272:P272"/>
    <mergeCell ref="Q272:Q274"/>
    <mergeCell ref="R272:R274"/>
    <mergeCell ref="J273:J274"/>
    <mergeCell ref="K273:K274"/>
    <mergeCell ref="L273:L274"/>
    <mergeCell ref="M273:M274"/>
    <mergeCell ref="N273:N274"/>
  </mergeCells>
  <phoneticPr fontId="21" type="noConversion"/>
  <pageMargins left="0" right="0" top="0" bottom="0" header="0" footer="0"/>
  <pageSetup paperSize="25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selection activeCell="B1" sqref="B1"/>
    </sheetView>
  </sheetViews>
  <sheetFormatPr defaultRowHeight="14.4"/>
  <cols>
    <col min="1" max="1" width="16.33203125" customWidth="1"/>
    <col min="2" max="22" width="6.109375" customWidth="1"/>
    <col min="23" max="23" width="7.109375" customWidth="1"/>
    <col min="24" max="26" width="6.109375" customWidth="1"/>
  </cols>
  <sheetData>
    <row r="1" spans="1:26" ht="15" thickBot="1">
      <c r="A1" s="8" t="s">
        <v>26</v>
      </c>
      <c r="B1" s="9">
        <v>12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1"/>
      <c r="Z1" s="11"/>
    </row>
    <row r="2" spans="1:26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1"/>
      <c r="Z2" s="11" t="s">
        <v>27</v>
      </c>
    </row>
    <row r="3" spans="1:26" ht="46.8">
      <c r="A3" s="12" t="s">
        <v>28</v>
      </c>
      <c r="B3" s="13" t="s">
        <v>29</v>
      </c>
      <c r="C3" s="13" t="s">
        <v>30</v>
      </c>
      <c r="D3" s="13" t="s">
        <v>31</v>
      </c>
      <c r="E3" s="13" t="s">
        <v>32</v>
      </c>
      <c r="F3" s="13" t="s">
        <v>33</v>
      </c>
      <c r="G3" s="13" t="s">
        <v>34</v>
      </c>
      <c r="H3" s="13" t="s">
        <v>35</v>
      </c>
      <c r="I3" s="13" t="s">
        <v>36</v>
      </c>
      <c r="J3" s="13" t="s">
        <v>37</v>
      </c>
      <c r="K3" s="13" t="s">
        <v>38</v>
      </c>
      <c r="L3" s="13" t="s">
        <v>39</v>
      </c>
      <c r="M3" s="13" t="s">
        <v>40</v>
      </c>
      <c r="N3" s="13" t="s">
        <v>41</v>
      </c>
      <c r="O3" s="13" t="s">
        <v>42</v>
      </c>
      <c r="P3" s="13" t="s">
        <v>43</v>
      </c>
      <c r="Q3" s="13" t="s">
        <v>44</v>
      </c>
      <c r="R3" s="13" t="s">
        <v>45</v>
      </c>
      <c r="S3" s="13" t="s">
        <v>46</v>
      </c>
      <c r="T3" s="13" t="s">
        <v>47</v>
      </c>
      <c r="U3" s="13" t="s">
        <v>48</v>
      </c>
      <c r="V3" s="13" t="s">
        <v>49</v>
      </c>
      <c r="W3" s="13" t="s">
        <v>50</v>
      </c>
      <c r="X3" s="14" t="s">
        <v>51</v>
      </c>
      <c r="Y3" s="14" t="s">
        <v>52</v>
      </c>
      <c r="Z3" s="14"/>
    </row>
    <row r="4" spans="1:26">
      <c r="A4" s="15" t="s">
        <v>53</v>
      </c>
      <c r="B4" s="16"/>
      <c r="C4" s="16">
        <v>1E-3</v>
      </c>
      <c r="D4" s="16"/>
      <c r="E4" s="16"/>
      <c r="F4" s="16"/>
      <c r="G4" s="16"/>
      <c r="H4" s="16"/>
      <c r="I4" s="16">
        <v>0.05</v>
      </c>
      <c r="J4" s="16"/>
      <c r="K4" s="17"/>
      <c r="L4" s="17">
        <v>8.0000000000000002E-3</v>
      </c>
      <c r="M4" s="17"/>
      <c r="N4" s="17"/>
      <c r="O4" s="17"/>
      <c r="P4" s="17"/>
      <c r="Q4" s="17"/>
      <c r="R4" s="17">
        <v>5.0000000000000001E-3</v>
      </c>
      <c r="S4" s="17"/>
      <c r="T4" s="16"/>
      <c r="U4" s="16"/>
      <c r="V4" s="16"/>
      <c r="W4" s="16"/>
      <c r="X4" s="16"/>
      <c r="Y4" s="16"/>
      <c r="Z4" s="16"/>
    </row>
    <row r="5" spans="1:26">
      <c r="A5" s="15" t="s">
        <v>54</v>
      </c>
      <c r="B5" s="16"/>
      <c r="C5" s="16">
        <v>1E-3</v>
      </c>
      <c r="D5" s="16"/>
      <c r="E5" s="16">
        <v>0.04</v>
      </c>
      <c r="F5" s="16">
        <v>1.4999999999999999E-2</v>
      </c>
      <c r="G5" s="16">
        <v>0.02</v>
      </c>
      <c r="H5" s="16"/>
      <c r="I5" s="16"/>
      <c r="J5" s="16"/>
      <c r="K5" s="17"/>
      <c r="L5" s="17"/>
      <c r="M5" s="17"/>
      <c r="N5" s="17"/>
      <c r="O5" s="17"/>
      <c r="P5" s="17"/>
      <c r="Q5" s="17"/>
      <c r="R5" s="17"/>
      <c r="S5" s="17">
        <v>0.01</v>
      </c>
      <c r="T5" s="16"/>
      <c r="U5" s="16"/>
      <c r="V5" s="16"/>
      <c r="W5" s="16"/>
      <c r="X5" s="16"/>
      <c r="Y5" s="16">
        <v>0.03</v>
      </c>
      <c r="Z5" s="16"/>
    </row>
    <row r="6" spans="1:26">
      <c r="A6" s="15" t="s">
        <v>55</v>
      </c>
      <c r="B6" s="16">
        <v>0.05</v>
      </c>
      <c r="C6" s="16"/>
      <c r="D6" s="16"/>
      <c r="E6" s="16"/>
      <c r="F6" s="16"/>
      <c r="G6" s="16"/>
      <c r="H6" s="16"/>
      <c r="I6" s="16"/>
      <c r="J6" s="16"/>
      <c r="K6" s="17"/>
      <c r="L6" s="17"/>
      <c r="M6" s="17"/>
      <c r="N6" s="17"/>
      <c r="O6" s="17"/>
      <c r="P6" s="17"/>
      <c r="Q6" s="17"/>
      <c r="R6" s="17"/>
      <c r="S6" s="17"/>
      <c r="T6" s="16"/>
      <c r="U6" s="16"/>
      <c r="V6" s="16"/>
      <c r="W6" s="16"/>
      <c r="X6" s="16"/>
      <c r="Y6" s="16"/>
      <c r="Z6" s="16"/>
    </row>
    <row r="7" spans="1:26">
      <c r="A7" s="15" t="s">
        <v>56</v>
      </c>
      <c r="B7" s="16"/>
      <c r="C7" s="16"/>
      <c r="D7" s="16"/>
      <c r="E7" s="16"/>
      <c r="F7" s="16"/>
      <c r="G7" s="16"/>
      <c r="H7" s="16"/>
      <c r="I7" s="16"/>
      <c r="J7" s="16"/>
      <c r="K7" s="17"/>
      <c r="L7" s="17"/>
      <c r="M7" s="17"/>
      <c r="N7" s="17"/>
      <c r="O7" s="17"/>
      <c r="P7" s="17"/>
      <c r="Q7" s="17"/>
      <c r="R7" s="17"/>
      <c r="S7" s="17"/>
      <c r="T7" s="16">
        <v>1.4999999999999999E-2</v>
      </c>
      <c r="U7" s="16">
        <v>0.01</v>
      </c>
      <c r="V7" s="16"/>
      <c r="W7" s="16"/>
      <c r="X7" s="16"/>
      <c r="Y7" s="16"/>
      <c r="Z7" s="16"/>
    </row>
    <row r="8" spans="1:26">
      <c r="A8" s="15" t="s">
        <v>57</v>
      </c>
      <c r="B8" s="16"/>
      <c r="C8" s="16"/>
      <c r="D8" s="16"/>
      <c r="E8" s="16"/>
      <c r="F8" s="16"/>
      <c r="G8" s="16"/>
      <c r="H8" s="16"/>
      <c r="I8" s="16"/>
      <c r="J8" s="16"/>
      <c r="K8" s="17"/>
      <c r="L8" s="17"/>
      <c r="M8" s="17"/>
      <c r="N8" s="17"/>
      <c r="O8" s="17"/>
      <c r="P8" s="17"/>
      <c r="Q8" s="17"/>
      <c r="R8" s="17"/>
      <c r="S8" s="17"/>
      <c r="T8" s="16"/>
      <c r="U8" s="16"/>
      <c r="V8" s="16"/>
      <c r="W8" s="16">
        <v>0.1</v>
      </c>
      <c r="X8" s="16"/>
      <c r="Y8" s="16"/>
      <c r="Z8" s="16"/>
    </row>
    <row r="9" spans="1:26">
      <c r="A9" s="15" t="s">
        <v>58</v>
      </c>
      <c r="B9" s="16"/>
      <c r="C9" s="16">
        <v>1E-3</v>
      </c>
      <c r="D9" s="16">
        <v>0.1</v>
      </c>
      <c r="E9" s="16"/>
      <c r="F9" s="16"/>
      <c r="G9" s="16"/>
      <c r="H9" s="16"/>
      <c r="I9" s="16"/>
      <c r="J9" s="16"/>
      <c r="K9" s="17"/>
      <c r="L9" s="17"/>
      <c r="M9" s="17"/>
      <c r="N9" s="17"/>
      <c r="O9" s="17"/>
      <c r="P9" s="17"/>
      <c r="Q9" s="17"/>
      <c r="R9" s="17"/>
      <c r="S9" s="17"/>
      <c r="T9" s="16"/>
      <c r="U9" s="16"/>
      <c r="V9" s="16"/>
      <c r="W9" s="16"/>
      <c r="X9" s="16"/>
      <c r="Y9" s="16"/>
      <c r="Z9" s="16"/>
    </row>
    <row r="10" spans="1:26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7"/>
      <c r="L10" s="17"/>
      <c r="M10" s="17"/>
      <c r="N10" s="17"/>
      <c r="O10" s="17"/>
      <c r="P10" s="17"/>
      <c r="Q10" s="17"/>
      <c r="R10" s="17"/>
      <c r="S10" s="17"/>
      <c r="T10" s="16"/>
      <c r="U10" s="16" t="s">
        <v>59</v>
      </c>
      <c r="V10" s="16"/>
      <c r="W10" s="16"/>
      <c r="X10" s="16"/>
      <c r="Y10" s="16"/>
      <c r="Z10" s="16"/>
    </row>
    <row r="11" spans="1:26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7"/>
      <c r="L11" s="17"/>
      <c r="M11" s="17"/>
      <c r="N11" s="17"/>
      <c r="O11" s="17"/>
      <c r="P11" s="17"/>
      <c r="Q11" s="17"/>
      <c r="R11" s="17"/>
      <c r="S11" s="17"/>
      <c r="T11" s="16"/>
      <c r="U11" s="16"/>
      <c r="V11" s="16"/>
      <c r="W11" s="16"/>
      <c r="X11" s="16"/>
      <c r="Y11" s="16"/>
      <c r="Z11" s="16"/>
    </row>
    <row r="12" spans="1:26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7"/>
      <c r="N12" s="17"/>
      <c r="O12" s="17"/>
      <c r="P12" s="17"/>
      <c r="Q12" s="17"/>
      <c r="R12" s="17"/>
      <c r="S12" s="17"/>
      <c r="T12" s="16"/>
      <c r="U12" s="16"/>
      <c r="V12" s="16"/>
      <c r="W12" s="16"/>
      <c r="X12" s="16"/>
      <c r="Y12" s="16"/>
      <c r="Z12" s="16"/>
    </row>
    <row r="13" spans="1:26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  <c r="O13" s="17"/>
      <c r="P13" s="17"/>
      <c r="Q13" s="17"/>
      <c r="R13" s="17"/>
      <c r="S13" s="17"/>
      <c r="T13" s="16"/>
      <c r="U13" s="16"/>
      <c r="V13" s="16"/>
      <c r="W13" s="16"/>
      <c r="X13" s="16"/>
      <c r="Y13" s="16"/>
      <c r="Z13" s="16"/>
    </row>
    <row r="14" spans="1:26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7"/>
      <c r="L14" s="17"/>
      <c r="M14" s="17"/>
      <c r="N14" s="17"/>
      <c r="O14" s="17"/>
      <c r="P14" s="17"/>
      <c r="Q14" s="17"/>
      <c r="R14" s="17"/>
      <c r="S14" s="17"/>
      <c r="T14" s="16"/>
      <c r="U14" s="16"/>
      <c r="V14" s="16"/>
      <c r="W14" s="16"/>
      <c r="X14" s="16"/>
      <c r="Y14" s="16"/>
      <c r="Z14" s="16"/>
    </row>
    <row r="15" spans="1:26">
      <c r="A15" s="15"/>
      <c r="C15" s="16"/>
      <c r="D15" s="16"/>
      <c r="E15" s="16"/>
      <c r="F15" s="16"/>
      <c r="G15" s="16"/>
      <c r="H15" s="16"/>
      <c r="I15" s="16"/>
      <c r="J15" s="16"/>
      <c r="K15" s="17"/>
      <c r="L15" s="17"/>
      <c r="M15" s="17"/>
      <c r="N15" s="17"/>
      <c r="O15" s="17"/>
      <c r="P15" s="17"/>
      <c r="Q15" s="17"/>
      <c r="R15" s="17"/>
      <c r="S15" s="17"/>
      <c r="T15" s="16"/>
      <c r="U15" s="16"/>
      <c r="V15" s="16"/>
      <c r="W15" s="16"/>
      <c r="X15" s="16"/>
      <c r="Y15" s="16"/>
      <c r="Z15" s="16"/>
    </row>
    <row r="16" spans="1:26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7"/>
      <c r="L16" s="17"/>
      <c r="M16" s="17"/>
      <c r="N16" s="17"/>
      <c r="O16" s="17"/>
      <c r="P16" s="17"/>
      <c r="Q16" s="17"/>
      <c r="R16" s="17"/>
      <c r="S16" s="17"/>
      <c r="T16" s="16"/>
      <c r="U16" s="16"/>
      <c r="V16" s="16"/>
      <c r="W16" s="16"/>
      <c r="X16" s="16"/>
      <c r="Y16" s="16"/>
      <c r="Z16" s="16"/>
    </row>
    <row r="17" spans="1:26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7"/>
      <c r="L17" s="17"/>
      <c r="M17" s="17"/>
      <c r="N17" s="17"/>
      <c r="O17" s="17"/>
      <c r="P17" s="17"/>
      <c r="Q17" s="17"/>
      <c r="R17" s="17"/>
      <c r="S17" s="17"/>
      <c r="T17" s="16"/>
      <c r="U17" s="16"/>
      <c r="V17" s="16"/>
      <c r="W17" s="16"/>
      <c r="X17" s="16"/>
      <c r="Y17" s="16"/>
      <c r="Z17" s="16"/>
    </row>
    <row r="18" spans="1:26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7"/>
      <c r="L18" s="17"/>
      <c r="M18" s="17"/>
      <c r="N18" s="17"/>
      <c r="O18" s="17"/>
      <c r="P18" s="17"/>
      <c r="Q18" s="17"/>
      <c r="R18" s="17"/>
      <c r="S18" s="17"/>
      <c r="T18" s="16"/>
      <c r="U18" s="16"/>
      <c r="V18" s="16"/>
      <c r="W18" s="16"/>
      <c r="X18" s="16"/>
      <c r="Y18" s="16"/>
      <c r="Z18" s="16"/>
    </row>
    <row r="19" spans="1:26">
      <c r="A19" s="15" t="s">
        <v>60</v>
      </c>
      <c r="B19" s="18">
        <f>SUM(B4:B18)</f>
        <v>0.05</v>
      </c>
      <c r="C19" s="18">
        <f t="shared" ref="C19:X19" si="0">SUM(C4:C18)</f>
        <v>3.0000000000000001E-3</v>
      </c>
      <c r="D19" s="18">
        <f t="shared" si="0"/>
        <v>0.1</v>
      </c>
      <c r="E19" s="18">
        <f t="shared" si="0"/>
        <v>0.04</v>
      </c>
      <c r="F19" s="18">
        <f t="shared" si="0"/>
        <v>1.4999999999999999E-2</v>
      </c>
      <c r="G19" s="18">
        <f t="shared" si="0"/>
        <v>0.02</v>
      </c>
      <c r="H19" s="18">
        <f t="shared" si="0"/>
        <v>0</v>
      </c>
      <c r="I19" s="18">
        <f t="shared" si="0"/>
        <v>0.05</v>
      </c>
      <c r="J19" s="18">
        <f t="shared" si="0"/>
        <v>0</v>
      </c>
      <c r="K19" s="18">
        <f t="shared" si="0"/>
        <v>0</v>
      </c>
      <c r="L19" s="18">
        <f t="shared" si="0"/>
        <v>8.0000000000000002E-3</v>
      </c>
      <c r="M19" s="18">
        <f t="shared" si="0"/>
        <v>0</v>
      </c>
      <c r="N19" s="18">
        <f t="shared" si="0"/>
        <v>0</v>
      </c>
      <c r="O19" s="18">
        <f t="shared" si="0"/>
        <v>0</v>
      </c>
      <c r="P19" s="18">
        <f t="shared" si="0"/>
        <v>0</v>
      </c>
      <c r="Q19" s="18">
        <f t="shared" si="0"/>
        <v>0</v>
      </c>
      <c r="R19" s="18">
        <f t="shared" si="0"/>
        <v>5.0000000000000001E-3</v>
      </c>
      <c r="S19" s="18">
        <f t="shared" si="0"/>
        <v>0.01</v>
      </c>
      <c r="T19" s="18">
        <f t="shared" si="0"/>
        <v>1.4999999999999999E-2</v>
      </c>
      <c r="U19" s="18">
        <f t="shared" si="0"/>
        <v>0.01</v>
      </c>
      <c r="V19" s="18">
        <f t="shared" si="0"/>
        <v>0</v>
      </c>
      <c r="W19" s="18">
        <f t="shared" si="0"/>
        <v>0.1</v>
      </c>
      <c r="X19" s="18">
        <f t="shared" si="0"/>
        <v>0</v>
      </c>
      <c r="Y19" s="18">
        <v>0.04</v>
      </c>
      <c r="Z19" s="18"/>
    </row>
    <row r="20" spans="1:26">
      <c r="A20" s="15" t="s">
        <v>61</v>
      </c>
      <c r="B20" s="19">
        <f>B1*B19</f>
        <v>0.60000000000000009</v>
      </c>
      <c r="C20" s="19">
        <f>C19*B1</f>
        <v>3.6000000000000004E-2</v>
      </c>
      <c r="D20" s="19">
        <f>D19*B1</f>
        <v>1.2000000000000002</v>
      </c>
      <c r="E20" s="19">
        <f>B1*E19</f>
        <v>0.48</v>
      </c>
      <c r="F20" s="19">
        <f>F19*B1</f>
        <v>0.18</v>
      </c>
      <c r="G20" s="19">
        <f>B1*G19</f>
        <v>0.24</v>
      </c>
      <c r="H20" s="19">
        <f>B1*H19</f>
        <v>0</v>
      </c>
      <c r="I20" s="19">
        <f>B1*I19</f>
        <v>0.60000000000000009</v>
      </c>
      <c r="J20" s="19">
        <f>B1*J19</f>
        <v>0</v>
      </c>
      <c r="K20" s="19">
        <f>B1*K19</f>
        <v>0</v>
      </c>
      <c r="L20" s="19">
        <f>B1*L19</f>
        <v>9.6000000000000002E-2</v>
      </c>
      <c r="M20" s="19">
        <f>B1*M19</f>
        <v>0</v>
      </c>
      <c r="N20" s="19">
        <f>B1*N19</f>
        <v>0</v>
      </c>
      <c r="O20" s="19">
        <f>B1*O19</f>
        <v>0</v>
      </c>
      <c r="P20" s="19">
        <f>B1*P19</f>
        <v>0</v>
      </c>
      <c r="Q20" s="19">
        <f>B1*Q19</f>
        <v>0</v>
      </c>
      <c r="R20" s="19">
        <f>B1*R19</f>
        <v>0.06</v>
      </c>
      <c r="S20" s="19">
        <f>B1*S19</f>
        <v>0.12</v>
      </c>
      <c r="T20" s="19">
        <f>B1*T19</f>
        <v>0.18</v>
      </c>
      <c r="U20" s="19">
        <f>B1*U19</f>
        <v>0.12</v>
      </c>
      <c r="V20" s="19">
        <f>B1*V19</f>
        <v>0</v>
      </c>
      <c r="W20" s="19">
        <f>B1*W19</f>
        <v>1.2000000000000002</v>
      </c>
      <c r="X20" s="19">
        <f>B11*X19</f>
        <v>0</v>
      </c>
      <c r="Y20" s="19">
        <f>B1*Y19</f>
        <v>0.48</v>
      </c>
      <c r="Z20" s="19"/>
    </row>
    <row r="21" spans="1:26">
      <c r="A21" s="15" t="s">
        <v>62</v>
      </c>
      <c r="B21" s="15">
        <v>50</v>
      </c>
      <c r="C21" s="15">
        <v>20</v>
      </c>
      <c r="D21" s="15">
        <v>240</v>
      </c>
      <c r="E21" s="15">
        <v>60</v>
      </c>
      <c r="F21" s="15">
        <v>40</v>
      </c>
      <c r="G21" s="15">
        <v>60</v>
      </c>
      <c r="H21" s="15">
        <v>30</v>
      </c>
      <c r="I21" s="15">
        <v>60</v>
      </c>
      <c r="J21" s="15">
        <v>55</v>
      </c>
      <c r="K21" s="15">
        <v>60</v>
      </c>
      <c r="L21" s="15">
        <v>270</v>
      </c>
      <c r="M21" s="15">
        <v>80</v>
      </c>
      <c r="N21" s="15">
        <v>500</v>
      </c>
      <c r="O21" s="15">
        <v>500</v>
      </c>
      <c r="P21" s="15">
        <v>80</v>
      </c>
      <c r="Q21" s="15">
        <v>27</v>
      </c>
      <c r="R21" s="15">
        <v>100</v>
      </c>
      <c r="S21" s="15">
        <v>300</v>
      </c>
      <c r="T21" s="15">
        <v>600</v>
      </c>
      <c r="U21" s="15">
        <v>60</v>
      </c>
      <c r="V21" s="15">
        <v>180</v>
      </c>
      <c r="W21" s="15">
        <v>120</v>
      </c>
      <c r="X21" s="15">
        <v>1100</v>
      </c>
      <c r="Y21" s="15">
        <v>60</v>
      </c>
      <c r="Z21" s="15"/>
    </row>
    <row r="22" spans="1:26" ht="15" thickBot="1">
      <c r="A22" s="15" t="s">
        <v>63</v>
      </c>
      <c r="B22" s="20">
        <f>B20*B21</f>
        <v>30.000000000000004</v>
      </c>
      <c r="C22" s="20">
        <f t="shared" ref="C22:Y22" si="1">C20*C21</f>
        <v>0.72000000000000008</v>
      </c>
      <c r="D22" s="20">
        <f t="shared" si="1"/>
        <v>288.00000000000006</v>
      </c>
      <c r="E22" s="20">
        <f t="shared" si="1"/>
        <v>28.799999999999997</v>
      </c>
      <c r="F22" s="20">
        <f t="shared" si="1"/>
        <v>7.1999999999999993</v>
      </c>
      <c r="G22" s="20">
        <f t="shared" si="1"/>
        <v>14.399999999999999</v>
      </c>
      <c r="H22" s="20">
        <f t="shared" si="1"/>
        <v>0</v>
      </c>
      <c r="I22" s="20">
        <f t="shared" si="1"/>
        <v>36.000000000000007</v>
      </c>
      <c r="J22" s="20">
        <f t="shared" si="1"/>
        <v>0</v>
      </c>
      <c r="K22" s="20">
        <f t="shared" si="1"/>
        <v>0</v>
      </c>
      <c r="L22" s="20">
        <f t="shared" si="1"/>
        <v>25.92</v>
      </c>
      <c r="M22" s="20">
        <f t="shared" si="1"/>
        <v>0</v>
      </c>
      <c r="N22" s="20">
        <f t="shared" si="1"/>
        <v>0</v>
      </c>
      <c r="O22" s="20">
        <f t="shared" si="1"/>
        <v>0</v>
      </c>
      <c r="P22" s="20">
        <f t="shared" si="1"/>
        <v>0</v>
      </c>
      <c r="Q22" s="20">
        <f t="shared" si="1"/>
        <v>0</v>
      </c>
      <c r="R22" s="20">
        <f t="shared" si="1"/>
        <v>6</v>
      </c>
      <c r="S22" s="20">
        <f t="shared" si="1"/>
        <v>36</v>
      </c>
      <c r="T22" s="20">
        <f t="shared" si="1"/>
        <v>108</v>
      </c>
      <c r="U22" s="20">
        <f t="shared" si="1"/>
        <v>7.1999999999999993</v>
      </c>
      <c r="V22" s="20">
        <f t="shared" si="1"/>
        <v>0</v>
      </c>
      <c r="W22" s="20">
        <f t="shared" si="1"/>
        <v>144.00000000000003</v>
      </c>
      <c r="X22" s="20">
        <f t="shared" si="1"/>
        <v>0</v>
      </c>
      <c r="Y22" s="20">
        <f t="shared" si="1"/>
        <v>28.799999999999997</v>
      </c>
      <c r="Z22" s="20"/>
    </row>
    <row r="23" spans="1:26" ht="15" thickBot="1">
      <c r="A23" s="10" t="s">
        <v>64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21">
        <f>SUM(B22:X22)/B1</f>
        <v>61.02000000000001</v>
      </c>
      <c r="X23" s="22"/>
      <c r="Y23" s="22"/>
      <c r="Z23" s="21"/>
    </row>
    <row r="24" spans="1:2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23"/>
      <c r="X24" s="23"/>
      <c r="Y24" s="11"/>
      <c r="Z24" s="11"/>
    </row>
    <row r="25" spans="1:2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1"/>
    </row>
  </sheetData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3:N13"/>
  <sheetViews>
    <sheetView zoomScaleSheetLayoutView="130" workbookViewId="0">
      <selection activeCell="L24" sqref="L24"/>
    </sheetView>
  </sheetViews>
  <sheetFormatPr defaultRowHeight="14.4"/>
  <cols>
    <col min="1" max="1" width="5.5546875" customWidth="1"/>
    <col min="2" max="2" width="9.109375" customWidth="1"/>
    <col min="6" max="6" width="12.109375" customWidth="1"/>
    <col min="9" max="9" width="7.109375" customWidth="1"/>
    <col min="10" max="10" width="11.5546875" customWidth="1"/>
  </cols>
  <sheetData>
    <row r="3" spans="2:14" ht="15.6">
      <c r="B3" s="277" t="s">
        <v>86</v>
      </c>
      <c r="C3" s="277"/>
      <c r="D3" s="44"/>
      <c r="E3" s="44"/>
      <c r="F3" s="44"/>
      <c r="G3" s="39"/>
      <c r="H3" s="39"/>
      <c r="I3" s="39"/>
      <c r="J3" s="44"/>
      <c r="K3" s="44"/>
      <c r="L3" s="278" t="s">
        <v>85</v>
      </c>
      <c r="M3" s="278"/>
      <c r="N3" s="278"/>
    </row>
    <row r="4" spans="2:14" ht="15.6">
      <c r="B4" s="276" t="s">
        <v>87</v>
      </c>
      <c r="C4" s="276"/>
      <c r="D4" s="276"/>
      <c r="E4" s="276"/>
      <c r="F4" s="276"/>
      <c r="G4" s="39"/>
      <c r="H4" s="39"/>
      <c r="I4" s="39"/>
      <c r="J4" s="278" t="s">
        <v>127</v>
      </c>
      <c r="K4" s="278"/>
      <c r="L4" s="278"/>
      <c r="M4" s="278"/>
      <c r="N4" s="278"/>
    </row>
    <row r="5" spans="2:14" ht="15.6">
      <c r="B5" s="277" t="s">
        <v>103</v>
      </c>
      <c r="C5" s="277"/>
      <c r="D5" s="277"/>
      <c r="E5" s="277"/>
      <c r="F5" s="277"/>
      <c r="G5" s="39"/>
      <c r="H5" s="39"/>
      <c r="I5" s="39"/>
      <c r="J5" s="279" t="s">
        <v>128</v>
      </c>
      <c r="K5" s="279"/>
      <c r="L5" s="279"/>
      <c r="M5" s="279"/>
      <c r="N5" s="279"/>
    </row>
    <row r="6" spans="2:14" ht="16.2" thickBot="1">
      <c r="B6" s="44" t="s">
        <v>88</v>
      </c>
      <c r="C6" s="45"/>
      <c r="D6" s="45"/>
      <c r="E6" s="44"/>
      <c r="F6" s="44"/>
      <c r="G6" s="39"/>
      <c r="H6" s="39"/>
      <c r="I6" s="39"/>
      <c r="J6" s="44"/>
      <c r="K6" s="45"/>
      <c r="L6" s="45"/>
      <c r="M6" s="278" t="s">
        <v>129</v>
      </c>
      <c r="N6" s="278"/>
    </row>
    <row r="10" spans="2:14">
      <c r="D10" s="275" t="s">
        <v>130</v>
      </c>
      <c r="E10" s="275"/>
      <c r="F10" s="275"/>
      <c r="G10" s="275"/>
      <c r="H10" s="275"/>
      <c r="I10" s="275"/>
      <c r="J10" s="275"/>
      <c r="K10" s="275"/>
      <c r="L10" s="275"/>
    </row>
    <row r="11" spans="2:14">
      <c r="D11" s="275"/>
      <c r="E11" s="275"/>
      <c r="F11" s="275"/>
      <c r="G11" s="275"/>
      <c r="H11" s="275"/>
      <c r="I11" s="275"/>
      <c r="J11" s="275"/>
      <c r="K11" s="275"/>
      <c r="L11" s="275"/>
    </row>
    <row r="12" spans="2:14">
      <c r="D12" s="275"/>
      <c r="E12" s="275"/>
      <c r="F12" s="275"/>
      <c r="G12" s="275"/>
      <c r="H12" s="275"/>
      <c r="I12" s="275"/>
      <c r="J12" s="275"/>
      <c r="K12" s="275"/>
      <c r="L12" s="275"/>
    </row>
    <row r="13" spans="2:14">
      <c r="D13" s="275"/>
      <c r="E13" s="275"/>
      <c r="F13" s="275"/>
      <c r="G13" s="275"/>
      <c r="H13" s="275"/>
      <c r="I13" s="275"/>
      <c r="J13" s="275"/>
      <c r="K13" s="275"/>
      <c r="L13" s="275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2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2021-12-08T16:34:09Z</dcterms:modified>
</cp:coreProperties>
</file>